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" sheetId="1" r:id="rId4"/>
    <sheet state="visible" name="February" sheetId="2" r:id="rId5"/>
    <sheet state="visible" name="March" sheetId="3" r:id="rId6"/>
    <sheet state="visible" name="April" sheetId="4" r:id="rId7"/>
    <sheet state="visible" name="May" sheetId="5" r:id="rId8"/>
    <sheet state="visible" name="June" sheetId="6" r:id="rId9"/>
    <sheet state="visible" name="July" sheetId="7" r:id="rId10"/>
    <sheet state="visible" name="August" sheetId="8" r:id="rId11"/>
    <sheet state="visible" name="September" sheetId="9" r:id="rId12"/>
    <sheet state="visible" name="October" sheetId="10" r:id="rId13"/>
    <sheet state="visible" name="November" sheetId="11" r:id="rId14"/>
    <sheet state="visible" name="December" sheetId="12" r:id="rId15"/>
    <sheet state="visible" name="Solution" sheetId="13" r:id="rId16"/>
  </sheets>
  <definedNames/>
  <calcPr/>
</workbook>
</file>

<file path=xl/sharedStrings.xml><?xml version="1.0" encoding="utf-8"?>
<sst xmlns="http://schemas.openxmlformats.org/spreadsheetml/2006/main" count="11744" uniqueCount="2003">
  <si>
    <t>ID</t>
  </si>
  <si>
    <t>Joining Day</t>
  </si>
  <si>
    <t>Demographic</t>
  </si>
  <si>
    <t>Value</t>
  </si>
  <si>
    <t>Joining Date</t>
  </si>
  <si>
    <t>Date of Birth</t>
  </si>
  <si>
    <t>Account Type</t>
  </si>
  <si>
    <t>Ethnicity</t>
  </si>
  <si>
    <t>863243</t>
  </si>
  <si>
    <t>Other</t>
  </si>
  <si>
    <t>12/30/2007</t>
  </si>
  <si>
    <t>Platinum</t>
  </si>
  <si>
    <t>893948</t>
  </si>
  <si>
    <t>White</t>
  </si>
  <si>
    <t>9/1/2013</t>
  </si>
  <si>
    <t>Gold</t>
  </si>
  <si>
    <t>174968</t>
  </si>
  <si>
    <t>9/30/1980</t>
  </si>
  <si>
    <t>427577</t>
  </si>
  <si>
    <t>Asian</t>
  </si>
  <si>
    <t>1/6/1971</t>
  </si>
  <si>
    <t>Basic</t>
  </si>
  <si>
    <t>491519</t>
  </si>
  <si>
    <t>4/4/1955</t>
  </si>
  <si>
    <t>716354</t>
  </si>
  <si>
    <t>Black</t>
  </si>
  <si>
    <t>12/18/1997</t>
  </si>
  <si>
    <t>994611</t>
  </si>
  <si>
    <t>6/19/1994</t>
  </si>
  <si>
    <t>177159</t>
  </si>
  <si>
    <t>11/10/1953</t>
  </si>
  <si>
    <t>547679</t>
  </si>
  <si>
    <t>2/7/1949</t>
  </si>
  <si>
    <t>806735</t>
  </si>
  <si>
    <t>4/15/1945</t>
  </si>
  <si>
    <t>888481</t>
  </si>
  <si>
    <t>10/14/2017</t>
  </si>
  <si>
    <t>155713</t>
  </si>
  <si>
    <t>7/3/2009</t>
  </si>
  <si>
    <t>673358</t>
  </si>
  <si>
    <t>1/14/2014</t>
  </si>
  <si>
    <t>755120</t>
  </si>
  <si>
    <t>7/6/1984</t>
  </si>
  <si>
    <t>580145</t>
  </si>
  <si>
    <t>11/14/2015</t>
  </si>
  <si>
    <t>674869</t>
  </si>
  <si>
    <t>6/6/1991</t>
  </si>
  <si>
    <t>683051</t>
  </si>
  <si>
    <t>7/8/1957</t>
  </si>
  <si>
    <t>731003</t>
  </si>
  <si>
    <t>9/16/1941</t>
  </si>
  <si>
    <t>176024</t>
  </si>
  <si>
    <t>12/26/1999</t>
  </si>
  <si>
    <t>201696</t>
  </si>
  <si>
    <t>2/5/1996</t>
  </si>
  <si>
    <t>276875</t>
  </si>
  <si>
    <t>8/27/1989</t>
  </si>
  <si>
    <t>306487</t>
  </si>
  <si>
    <t>6/26/1970</t>
  </si>
  <si>
    <t>483606</t>
  </si>
  <si>
    <t>7/3/1941</t>
  </si>
  <si>
    <t>119237</t>
  </si>
  <si>
    <t>9/18/2012</t>
  </si>
  <si>
    <t>568991</t>
  </si>
  <si>
    <t>4/27/1979</t>
  </si>
  <si>
    <t>933040</t>
  </si>
  <si>
    <t>12/12/1991</t>
  </si>
  <si>
    <t>596558</t>
  </si>
  <si>
    <t>3/22/1951</t>
  </si>
  <si>
    <t>596604</t>
  </si>
  <si>
    <t>4/29/2000</t>
  </si>
  <si>
    <t>888532</t>
  </si>
  <si>
    <t>1/11/2013</t>
  </si>
  <si>
    <t>369221</t>
  </si>
  <si>
    <t>3/4/2019</t>
  </si>
  <si>
    <t>611859</t>
  </si>
  <si>
    <t>12/2/1977</t>
  </si>
  <si>
    <t>139746</t>
  </si>
  <si>
    <t>2/27/1948</t>
  </si>
  <si>
    <t>472457</t>
  </si>
  <si>
    <t>1/30/1991</t>
  </si>
  <si>
    <t>673141</t>
  </si>
  <si>
    <t>12/30/1955</t>
  </si>
  <si>
    <t>742071</t>
  </si>
  <si>
    <t>9/22/1968</t>
  </si>
  <si>
    <t>471554</t>
  </si>
  <si>
    <t>4/22/1990</t>
  </si>
  <si>
    <t>527712</t>
  </si>
  <si>
    <t>9/27/1996</t>
  </si>
  <si>
    <t>761244</t>
  </si>
  <si>
    <t>12/26/1942</t>
  </si>
  <si>
    <t>845293</t>
  </si>
  <si>
    <t>5/28/1946</t>
  </si>
  <si>
    <t>871764</t>
  </si>
  <si>
    <t>10/29/1967</t>
  </si>
  <si>
    <t>189787</t>
  </si>
  <si>
    <t>5/12/1986</t>
  </si>
  <si>
    <t>733667</t>
  </si>
  <si>
    <t>11/15/1944</t>
  </si>
  <si>
    <t>813344</t>
  </si>
  <si>
    <t>11/4/1966</t>
  </si>
  <si>
    <t>102704</t>
  </si>
  <si>
    <t>3/9/2000</t>
  </si>
  <si>
    <t>548577</t>
  </si>
  <si>
    <t>5/9/1962</t>
  </si>
  <si>
    <t>591154</t>
  </si>
  <si>
    <t>12/1/2002</t>
  </si>
  <si>
    <t>850402</t>
  </si>
  <si>
    <t>9/17/1991</t>
  </si>
  <si>
    <t>785116</t>
  </si>
  <si>
    <t>11/25/1957</t>
  </si>
  <si>
    <t>943375</t>
  </si>
  <si>
    <t>7/26/1958</t>
  </si>
  <si>
    <t>467914</t>
  </si>
  <si>
    <t>2/25/1990</t>
  </si>
  <si>
    <t>714800</t>
  </si>
  <si>
    <t>6/25/1974</t>
  </si>
  <si>
    <t>960368</t>
  </si>
  <si>
    <t>9/5/1997</t>
  </si>
  <si>
    <t>554004</t>
  </si>
  <si>
    <t>7/20/1997</t>
  </si>
  <si>
    <t>626975</t>
  </si>
  <si>
    <t>10/4/1948</t>
  </si>
  <si>
    <t>691378</t>
  </si>
  <si>
    <t>12/7/1979</t>
  </si>
  <si>
    <t>772826</t>
  </si>
  <si>
    <t>8/29/1978</t>
  </si>
  <si>
    <t>806804</t>
  </si>
  <si>
    <t>10/5/1948</t>
  </si>
  <si>
    <t>612794</t>
  </si>
  <si>
    <t>11/12/1981</t>
  </si>
  <si>
    <t>784685</t>
  </si>
  <si>
    <t>6/17/1968</t>
  </si>
  <si>
    <t>806648</t>
  </si>
  <si>
    <t>8/20/1986</t>
  </si>
  <si>
    <t>957631</t>
  </si>
  <si>
    <t>6/19/1956</t>
  </si>
  <si>
    <t>349505</t>
  </si>
  <si>
    <t>9/13/1961</t>
  </si>
  <si>
    <t>490910</t>
  </si>
  <si>
    <t>5/23/1981</t>
  </si>
  <si>
    <t>754791</t>
  </si>
  <si>
    <t>7/17/1952</t>
  </si>
  <si>
    <t>711747</t>
  </si>
  <si>
    <t>9/28/1940</t>
  </si>
  <si>
    <t>721471</t>
  </si>
  <si>
    <t>8/17/1985</t>
  </si>
  <si>
    <t>777515</t>
  </si>
  <si>
    <t>4/3/1989</t>
  </si>
  <si>
    <t>801438</t>
  </si>
  <si>
    <t>6/20/1950</t>
  </si>
  <si>
    <t>223982</t>
  </si>
  <si>
    <t>8/12/1956</t>
  </si>
  <si>
    <t>246208</t>
  </si>
  <si>
    <t>9/11/1996</t>
  </si>
  <si>
    <t>311919</t>
  </si>
  <si>
    <t>6/26/1961</t>
  </si>
  <si>
    <t>604893</t>
  </si>
  <si>
    <t>11/10/1959</t>
  </si>
  <si>
    <t>920752</t>
  </si>
  <si>
    <t>9/1/1990</t>
  </si>
  <si>
    <t>314042</t>
  </si>
  <si>
    <t>12/26/1986</t>
  </si>
  <si>
    <t>806747</t>
  </si>
  <si>
    <t>5/31/2007</t>
  </si>
  <si>
    <t>829199</t>
  </si>
  <si>
    <t>1/25/1978</t>
  </si>
  <si>
    <t>899966</t>
  </si>
  <si>
    <t>2/13/2015</t>
  </si>
  <si>
    <t>929308</t>
  </si>
  <si>
    <t>10/19/2004</t>
  </si>
  <si>
    <t>809513</t>
  </si>
  <si>
    <t>1/1/1951</t>
  </si>
  <si>
    <t>840464</t>
  </si>
  <si>
    <t>7/18/1968</t>
  </si>
  <si>
    <t>543545</t>
  </si>
  <si>
    <t>8/30/1986</t>
  </si>
  <si>
    <t>191607</t>
  </si>
  <si>
    <t>3/15/1963</t>
  </si>
  <si>
    <t>602662</t>
  </si>
  <si>
    <t>3/7/1958</t>
  </si>
  <si>
    <t>473692</t>
  </si>
  <si>
    <t>20</t>
  </si>
  <si>
    <t>3/23/2012</t>
  </si>
  <si>
    <t>150853</t>
  </si>
  <si>
    <t>5</t>
  </si>
  <si>
    <t>7/9/1991</t>
  </si>
  <si>
    <t>627428</t>
  </si>
  <si>
    <t>1</t>
  </si>
  <si>
    <t>11/5/2018</t>
  </si>
  <si>
    <t>606864</t>
  </si>
  <si>
    <t>8</t>
  </si>
  <si>
    <t>10/5/1945</t>
  </si>
  <si>
    <t>664634</t>
  </si>
  <si>
    <t>6</t>
  </si>
  <si>
    <t>3/5/1952</t>
  </si>
  <si>
    <t>315439</t>
  </si>
  <si>
    <t>9</t>
  </si>
  <si>
    <t>5/23/1999</t>
  </si>
  <si>
    <t>712911</t>
  </si>
  <si>
    <t>18</t>
  </si>
  <si>
    <t>6/5/1943</t>
  </si>
  <si>
    <t>478020</t>
  </si>
  <si>
    <t>27</t>
  </si>
  <si>
    <t>5/16/1987</t>
  </si>
  <si>
    <t>366334</t>
  </si>
  <si>
    <t>10/15/1996</t>
  </si>
  <si>
    <t>978930</t>
  </si>
  <si>
    <t>25</t>
  </si>
  <si>
    <t>3/27/2016</t>
  </si>
  <si>
    <t>898177</t>
  </si>
  <si>
    <t>28</t>
  </si>
  <si>
    <t>10/13/1975</t>
  </si>
  <si>
    <t>938610</t>
  </si>
  <si>
    <t>14</t>
  </si>
  <si>
    <t>11/18/2006</t>
  </si>
  <si>
    <t>624601</t>
  </si>
  <si>
    <t>4/20/1991</t>
  </si>
  <si>
    <t>900910</t>
  </si>
  <si>
    <t>9/21/1967</t>
  </si>
  <si>
    <t>303669</t>
  </si>
  <si>
    <t>1/3/2016</t>
  </si>
  <si>
    <t>995456</t>
  </si>
  <si>
    <t>17</t>
  </si>
  <si>
    <t>3/5/1975</t>
  </si>
  <si>
    <t>598787</t>
  </si>
  <si>
    <t>9/11/1962</t>
  </si>
  <si>
    <t>239484</t>
  </si>
  <si>
    <t>5/1/1999</t>
  </si>
  <si>
    <t>188081</t>
  </si>
  <si>
    <t>26</t>
  </si>
  <si>
    <t>5/29/1969</t>
  </si>
  <si>
    <t>828504</t>
  </si>
  <si>
    <t>10</t>
  </si>
  <si>
    <t>9/21/2013</t>
  </si>
  <si>
    <t>150648</t>
  </si>
  <si>
    <t>2</t>
  </si>
  <si>
    <t>6/4/1950</t>
  </si>
  <si>
    <t>263796</t>
  </si>
  <si>
    <t>24</t>
  </si>
  <si>
    <t>2/10/1952</t>
  </si>
  <si>
    <t>662810</t>
  </si>
  <si>
    <t>12/11/1994</t>
  </si>
  <si>
    <t>988008</t>
  </si>
  <si>
    <t>7/9/1971</t>
  </si>
  <si>
    <t>126580</t>
  </si>
  <si>
    <t>7</t>
  </si>
  <si>
    <t>7/17/1945</t>
  </si>
  <si>
    <t>307769</t>
  </si>
  <si>
    <t>16</t>
  </si>
  <si>
    <t>7/26/1981</t>
  </si>
  <si>
    <t>890043</t>
  </si>
  <si>
    <t>5/24/2010</t>
  </si>
  <si>
    <t>866947</t>
  </si>
  <si>
    <t>4/11/1949</t>
  </si>
  <si>
    <t>200988</t>
  </si>
  <si>
    <t>10/8/1969</t>
  </si>
  <si>
    <t>667559</t>
  </si>
  <si>
    <t>5/16/1985</t>
  </si>
  <si>
    <t>862571</t>
  </si>
  <si>
    <t>3/10/1962</t>
  </si>
  <si>
    <t>448076</t>
  </si>
  <si>
    <t>10/7/1995</t>
  </si>
  <si>
    <t>993967</t>
  </si>
  <si>
    <t>15</t>
  </si>
  <si>
    <t>2/23/1951</t>
  </si>
  <si>
    <t>748205</t>
  </si>
  <si>
    <t>6/19/2002</t>
  </si>
  <si>
    <t>582245</t>
  </si>
  <si>
    <t>2/17/2012</t>
  </si>
  <si>
    <t>429112</t>
  </si>
  <si>
    <t>11/20/1993</t>
  </si>
  <si>
    <t>528281</t>
  </si>
  <si>
    <t>22</t>
  </si>
  <si>
    <t>12/22/2009</t>
  </si>
  <si>
    <t>698182</t>
  </si>
  <si>
    <t>12/28/1960</t>
  </si>
  <si>
    <t>141574</t>
  </si>
  <si>
    <t>12/18/2012</t>
  </si>
  <si>
    <t>253467</t>
  </si>
  <si>
    <t>7/29/1984</t>
  </si>
  <si>
    <t>290840</t>
  </si>
  <si>
    <t>8/3/2001</t>
  </si>
  <si>
    <t>313159</t>
  </si>
  <si>
    <t>9/23/2008</t>
  </si>
  <si>
    <t>771442</t>
  </si>
  <si>
    <t>5/7/1974</t>
  </si>
  <si>
    <t>305931</t>
  </si>
  <si>
    <t>10/1/2011</t>
  </si>
  <si>
    <t>399130</t>
  </si>
  <si>
    <t>7/4/1958</t>
  </si>
  <si>
    <t>867729</t>
  </si>
  <si>
    <t>3</t>
  </si>
  <si>
    <t>4/24/1957</t>
  </si>
  <si>
    <t>236432</t>
  </si>
  <si>
    <t>10/13/1957</t>
  </si>
  <si>
    <t>633342</t>
  </si>
  <si>
    <t>3/25/1972</t>
  </si>
  <si>
    <t>940601</t>
  </si>
  <si>
    <t>8/4/2011</t>
  </si>
  <si>
    <t>203783</t>
  </si>
  <si>
    <t>7/10/1975</t>
  </si>
  <si>
    <t>371550</t>
  </si>
  <si>
    <t>8/20/2004</t>
  </si>
  <si>
    <t>742364</t>
  </si>
  <si>
    <t>9/9/1978</t>
  </si>
  <si>
    <t>149442</t>
  </si>
  <si>
    <t>23</t>
  </si>
  <si>
    <t>6/10/1952</t>
  </si>
  <si>
    <t>134738</t>
  </si>
  <si>
    <t>4</t>
  </si>
  <si>
    <t>4/21/1992</t>
  </si>
  <si>
    <t>804513</t>
  </si>
  <si>
    <t>5/12/1974</t>
  </si>
  <si>
    <t>747974</t>
  </si>
  <si>
    <t>8/14/1966</t>
  </si>
  <si>
    <t>435231</t>
  </si>
  <si>
    <t>11</t>
  </si>
  <si>
    <t>1/2/2012</t>
  </si>
  <si>
    <t>440691</t>
  </si>
  <si>
    <t>7/2/2013</t>
  </si>
  <si>
    <t>639573</t>
  </si>
  <si>
    <t>10/7/1943</t>
  </si>
  <si>
    <t>793000</t>
  </si>
  <si>
    <t>12</t>
  </si>
  <si>
    <t>4/29/1951</t>
  </si>
  <si>
    <t>418614</t>
  </si>
  <si>
    <t>11/17/2013</t>
  </si>
  <si>
    <t>829902</t>
  </si>
  <si>
    <t>4/14/1968</t>
  </si>
  <si>
    <t>533119</t>
  </si>
  <si>
    <t>1/25/1960</t>
  </si>
  <si>
    <t>287391</t>
  </si>
  <si>
    <t>11/25/1954</t>
  </si>
  <si>
    <t>913984</t>
  </si>
  <si>
    <t>9/6/2008</t>
  </si>
  <si>
    <t>336949</t>
  </si>
  <si>
    <t>12/20/1976</t>
  </si>
  <si>
    <t>523380</t>
  </si>
  <si>
    <t>21</t>
  </si>
  <si>
    <t>12/23/1994</t>
  </si>
  <si>
    <t>645286</t>
  </si>
  <si>
    <t>5/7/2006</t>
  </si>
  <si>
    <t>426503</t>
  </si>
  <si>
    <t>9/3/2009</t>
  </si>
  <si>
    <t>322646</t>
  </si>
  <si>
    <t>2/24/1956</t>
  </si>
  <si>
    <t>430823</t>
  </si>
  <si>
    <t>11/22/1986</t>
  </si>
  <si>
    <t>905817</t>
  </si>
  <si>
    <t>4/24/1969</t>
  </si>
  <si>
    <t>978249</t>
  </si>
  <si>
    <t>7/9/1944</t>
  </si>
  <si>
    <t>863998</t>
  </si>
  <si>
    <t>11/23/2006</t>
  </si>
  <si>
    <t>535172</t>
  </si>
  <si>
    <t>12/23/1964</t>
  </si>
  <si>
    <t>884641</t>
  </si>
  <si>
    <t>2/20/1970</t>
  </si>
  <si>
    <t>695485</t>
  </si>
  <si>
    <t>11/26/1954</t>
  </si>
  <si>
    <t>583851</t>
  </si>
  <si>
    <t>2/26/2006</t>
  </si>
  <si>
    <t>436544</t>
  </si>
  <si>
    <t>4/10/2013</t>
  </si>
  <si>
    <t>844387</t>
  </si>
  <si>
    <t>1/17/1950</t>
  </si>
  <si>
    <t>128220</t>
  </si>
  <si>
    <t>3/22/1947</t>
  </si>
  <si>
    <t>737345</t>
  </si>
  <si>
    <t>1/27/1971</t>
  </si>
  <si>
    <t>431391</t>
  </si>
  <si>
    <t>4/25/1980</t>
  </si>
  <si>
    <t>375824</t>
  </si>
  <si>
    <t>7/5/1978</t>
  </si>
  <si>
    <t>247253</t>
  </si>
  <si>
    <t>9/26/1987</t>
  </si>
  <si>
    <t>373223</t>
  </si>
  <si>
    <t>29</t>
  </si>
  <si>
    <t>11/12/1985</t>
  </si>
  <si>
    <t>805034</t>
  </si>
  <si>
    <t>19</t>
  </si>
  <si>
    <t>1/10/1968</t>
  </si>
  <si>
    <t>842913</t>
  </si>
  <si>
    <t>4/22/1945</t>
  </si>
  <si>
    <t>755287</t>
  </si>
  <si>
    <t>8/27/1997</t>
  </si>
  <si>
    <t>700950</t>
  </si>
  <si>
    <t>6/18/1940</t>
  </si>
  <si>
    <t>115702</t>
  </si>
  <si>
    <t>2/17/1977</t>
  </si>
  <si>
    <t>664810</t>
  </si>
  <si>
    <t>7/2/1947</t>
  </si>
  <si>
    <t>698434</t>
  </si>
  <si>
    <t>12/23/1946</t>
  </si>
  <si>
    <t>287144</t>
  </si>
  <si>
    <t>9/25/1976</t>
  </si>
  <si>
    <t>980787</t>
  </si>
  <si>
    <t>13</t>
  </si>
  <si>
    <t>2/18/1975</t>
  </si>
  <si>
    <t>487923</t>
  </si>
  <si>
    <t>6/28/1990</t>
  </si>
  <si>
    <t>512194</t>
  </si>
  <si>
    <t>4/9/1985</t>
  </si>
  <si>
    <t>135265</t>
  </si>
  <si>
    <t>2/9/1940</t>
  </si>
  <si>
    <t>762476</t>
  </si>
  <si>
    <t>6/3/1956</t>
  </si>
  <si>
    <t>506007</t>
  </si>
  <si>
    <t>12/1/1979</t>
  </si>
  <si>
    <t>221229</t>
  </si>
  <si>
    <t>2/26/1965</t>
  </si>
  <si>
    <t>650842</t>
  </si>
  <si>
    <t>6/6/1953</t>
  </si>
  <si>
    <t>675810</t>
  </si>
  <si>
    <t>12/12/1968</t>
  </si>
  <si>
    <t>989180</t>
  </si>
  <si>
    <t>9/18/1953</t>
  </si>
  <si>
    <t>250381</t>
  </si>
  <si>
    <t>5/18/1945</t>
  </si>
  <si>
    <t>548861</t>
  </si>
  <si>
    <t>5/3/1962</t>
  </si>
  <si>
    <t>184141</t>
  </si>
  <si>
    <t>3/18/1949</t>
  </si>
  <si>
    <t>830235</t>
  </si>
  <si>
    <t>8/15/1947</t>
  </si>
  <si>
    <t>664103</t>
  </si>
  <si>
    <t>6/29/2014</t>
  </si>
  <si>
    <t>569706</t>
  </si>
  <si>
    <t>5/16/2014</t>
  </si>
  <si>
    <t>312371</t>
  </si>
  <si>
    <t>6/28/2019</t>
  </si>
  <si>
    <t>638704</t>
  </si>
  <si>
    <t>4/6/1946</t>
  </si>
  <si>
    <t>248371</t>
  </si>
  <si>
    <t>12/30/1979</t>
  </si>
  <si>
    <t>415677</t>
  </si>
  <si>
    <t>3/31/2008</t>
  </si>
  <si>
    <t>982951</t>
  </si>
  <si>
    <t>3/6/1982</t>
  </si>
  <si>
    <t>994016</t>
  </si>
  <si>
    <t>3/29/1955</t>
  </si>
  <si>
    <t>895152</t>
  </si>
  <si>
    <t>8/4/1941</t>
  </si>
  <si>
    <t>255988</t>
  </si>
  <si>
    <t>6/7/2017</t>
  </si>
  <si>
    <t>838073</t>
  </si>
  <si>
    <t>9/14/2011</t>
  </si>
  <si>
    <t>458285</t>
  </si>
  <si>
    <t>12/20/2018</t>
  </si>
  <si>
    <t>924472</t>
  </si>
  <si>
    <t>6/14/1972</t>
  </si>
  <si>
    <t>588390</t>
  </si>
  <si>
    <t>3/22/1950</t>
  </si>
  <si>
    <t>621479</t>
  </si>
  <si>
    <t>1/12/1968</t>
  </si>
  <si>
    <t>791978</t>
  </si>
  <si>
    <t>10/18/1985</t>
  </si>
  <si>
    <t>413196</t>
  </si>
  <si>
    <t>10/1/1974</t>
  </si>
  <si>
    <t>445531</t>
  </si>
  <si>
    <t>11/1/1963</t>
  </si>
  <si>
    <t>316875</t>
  </si>
  <si>
    <t>31</t>
  </si>
  <si>
    <t>3/7/1992</t>
  </si>
  <si>
    <t>500741</t>
  </si>
  <si>
    <t>12/26/1955</t>
  </si>
  <si>
    <t>429752</t>
  </si>
  <si>
    <t>11/15/1945</t>
  </si>
  <si>
    <t>835234</t>
  </si>
  <si>
    <t>6/4/1948</t>
  </si>
  <si>
    <t>264065</t>
  </si>
  <si>
    <t>30</t>
  </si>
  <si>
    <t>12/8/1975</t>
  </si>
  <si>
    <t>963921</t>
  </si>
  <si>
    <t>9/8/2011</t>
  </si>
  <si>
    <t>393185</t>
  </si>
  <si>
    <t>8/11/1967</t>
  </si>
  <si>
    <t>535509</t>
  </si>
  <si>
    <t>9/11/2019</t>
  </si>
  <si>
    <t>178058</t>
  </si>
  <si>
    <t>1/1/1988</t>
  </si>
  <si>
    <t>167376</t>
  </si>
  <si>
    <t>6/25/2004</t>
  </si>
  <si>
    <t>528606</t>
  </si>
  <si>
    <t>12/3/2014</t>
  </si>
  <si>
    <t>676797</t>
  </si>
  <si>
    <t>11/3/1986</t>
  </si>
  <si>
    <t>125458</t>
  </si>
  <si>
    <t>6/23/1960</t>
  </si>
  <si>
    <t>932133</t>
  </si>
  <si>
    <t>9/22/1944</t>
  </si>
  <si>
    <t>582577</t>
  </si>
  <si>
    <t>1/24/1999</t>
  </si>
  <si>
    <t>714124</t>
  </si>
  <si>
    <t>12/24/1986</t>
  </si>
  <si>
    <t>132163</t>
  </si>
  <si>
    <t>8/19/2019</t>
  </si>
  <si>
    <t>527900</t>
  </si>
  <si>
    <t>10/11/1952</t>
  </si>
  <si>
    <t>446540</t>
  </si>
  <si>
    <t>7/22/1950</t>
  </si>
  <si>
    <t>571428</t>
  </si>
  <si>
    <t>6/23/1965</t>
  </si>
  <si>
    <t>258885</t>
  </si>
  <si>
    <t>3/16/1943</t>
  </si>
  <si>
    <t>859391</t>
  </si>
  <si>
    <t>4/11/1999</t>
  </si>
  <si>
    <t>606785</t>
  </si>
  <si>
    <t>8/11/1968</t>
  </si>
  <si>
    <t>973103</t>
  </si>
  <si>
    <t>3/29/1942</t>
  </si>
  <si>
    <t>513032</t>
  </si>
  <si>
    <t>1/12/1973</t>
  </si>
  <si>
    <t>499282</t>
  </si>
  <si>
    <t>6/14/2019</t>
  </si>
  <si>
    <t>845839</t>
  </si>
  <si>
    <t>5/29/1979</t>
  </si>
  <si>
    <t>725355</t>
  </si>
  <si>
    <t>9/22/1975</t>
  </si>
  <si>
    <t>667164</t>
  </si>
  <si>
    <t>3/29/1977</t>
  </si>
  <si>
    <t>618265</t>
  </si>
  <si>
    <t>5/31/1945</t>
  </si>
  <si>
    <t>731691</t>
  </si>
  <si>
    <t>7/29/1951</t>
  </si>
  <si>
    <t>832052</t>
  </si>
  <si>
    <t>8/21/1981</t>
  </si>
  <si>
    <t>296100</t>
  </si>
  <si>
    <t>10/22/1991</t>
  </si>
  <si>
    <t>894920</t>
  </si>
  <si>
    <t>12/3/1979</t>
  </si>
  <si>
    <t>344685</t>
  </si>
  <si>
    <t>1/6/1990</t>
  </si>
  <si>
    <t>968654</t>
  </si>
  <si>
    <t>1/26/1981</t>
  </si>
  <si>
    <t>797127</t>
  </si>
  <si>
    <t>6/26/1987</t>
  </si>
  <si>
    <t>282672</t>
  </si>
  <si>
    <t>7/20/1991</t>
  </si>
  <si>
    <t>339687</t>
  </si>
  <si>
    <t>11/29/1946</t>
  </si>
  <si>
    <t>818135</t>
  </si>
  <si>
    <t>4/11/1954</t>
  </si>
  <si>
    <t>192505</t>
  </si>
  <si>
    <t>10/15/1966</t>
  </si>
  <si>
    <t>669663</t>
  </si>
  <si>
    <t>6/2/1994</t>
  </si>
  <si>
    <t>604416</t>
  </si>
  <si>
    <t>6/29/2004</t>
  </si>
  <si>
    <t>656794</t>
  </si>
  <si>
    <t>10/21/1951</t>
  </si>
  <si>
    <t>954550</t>
  </si>
  <si>
    <t>1/23/1953</t>
  </si>
  <si>
    <t>255005</t>
  </si>
  <si>
    <t>1/4/1941</t>
  </si>
  <si>
    <t>104185</t>
  </si>
  <si>
    <t>6/8/1989</t>
  </si>
  <si>
    <t>637023</t>
  </si>
  <si>
    <t>11/23/1953</t>
  </si>
  <si>
    <t>184178</t>
  </si>
  <si>
    <t>10/29/1958</t>
  </si>
  <si>
    <t>708191</t>
  </si>
  <si>
    <t>6/30/1974</t>
  </si>
  <si>
    <t>805246</t>
  </si>
  <si>
    <t>7/20/1971</t>
  </si>
  <si>
    <t>340059</t>
  </si>
  <si>
    <t>1/24/2004</t>
  </si>
  <si>
    <t>458824</t>
  </si>
  <si>
    <t>8/3/1967</t>
  </si>
  <si>
    <t>873760</t>
  </si>
  <si>
    <t>12/31/1980</t>
  </si>
  <si>
    <t>134047</t>
  </si>
  <si>
    <t>4/6/1959</t>
  </si>
  <si>
    <t>327751</t>
  </si>
  <si>
    <t>4/26/1984</t>
  </si>
  <si>
    <t>302917</t>
  </si>
  <si>
    <t>5/3/1955</t>
  </si>
  <si>
    <t>824009</t>
  </si>
  <si>
    <t>3/27/1989</t>
  </si>
  <si>
    <t>731240</t>
  </si>
  <si>
    <t>5/8/1951</t>
  </si>
  <si>
    <t>727292</t>
  </si>
  <si>
    <t>1/13/1984</t>
  </si>
  <si>
    <t>385704</t>
  </si>
  <si>
    <t>1/1/1987</t>
  </si>
  <si>
    <t>367467</t>
  </si>
  <si>
    <t>1/24/2019</t>
  </si>
  <si>
    <t>748215</t>
  </si>
  <si>
    <t>5/1/2013</t>
  </si>
  <si>
    <t>549509</t>
  </si>
  <si>
    <t>4/13/1970</t>
  </si>
  <si>
    <t>856901</t>
  </si>
  <si>
    <t>10/21/1941</t>
  </si>
  <si>
    <t>614858</t>
  </si>
  <si>
    <t>3/24/1977</t>
  </si>
  <si>
    <t>130206</t>
  </si>
  <si>
    <t>3/19/1972</t>
  </si>
  <si>
    <t>553320</t>
  </si>
  <si>
    <t>3/19/1952</t>
  </si>
  <si>
    <t>285157</t>
  </si>
  <si>
    <t>1/16/2010</t>
  </si>
  <si>
    <t>478687</t>
  </si>
  <si>
    <t>5/13/1999</t>
  </si>
  <si>
    <t>911471</t>
  </si>
  <si>
    <t>1/11/2007</t>
  </si>
  <si>
    <t>402150</t>
  </si>
  <si>
    <t>10/14/1970</t>
  </si>
  <si>
    <t>919470</t>
  </si>
  <si>
    <t>10/9/1949</t>
  </si>
  <si>
    <t>654694</t>
  </si>
  <si>
    <t>8/13/1985</t>
  </si>
  <si>
    <t>984067</t>
  </si>
  <si>
    <t>4/9/1958</t>
  </si>
  <si>
    <t>871141</t>
  </si>
  <si>
    <t>2/24/1944</t>
  </si>
  <si>
    <t>638662</t>
  </si>
  <si>
    <t>3/4/2008</t>
  </si>
  <si>
    <t>460507</t>
  </si>
  <si>
    <t>10/28/1945</t>
  </si>
  <si>
    <t>467374</t>
  </si>
  <si>
    <t>1/3/2006</t>
  </si>
  <si>
    <t>431328</t>
  </si>
  <si>
    <t>5/30/1970</t>
  </si>
  <si>
    <t>166090</t>
  </si>
  <si>
    <t>2/4/2016</t>
  </si>
  <si>
    <t>506688</t>
  </si>
  <si>
    <t>9/29/2015</t>
  </si>
  <si>
    <t>675627</t>
  </si>
  <si>
    <t>8/17/1968</t>
  </si>
  <si>
    <t>771144</t>
  </si>
  <si>
    <t>10/21/1962</t>
  </si>
  <si>
    <t>991305</t>
  </si>
  <si>
    <t>10/30/1986</t>
  </si>
  <si>
    <t>663516</t>
  </si>
  <si>
    <t>11/7/1996</t>
  </si>
  <si>
    <t>514864</t>
  </si>
  <si>
    <t>2/19/1965</t>
  </si>
  <si>
    <t>595739</t>
  </si>
  <si>
    <t>6/18/1997</t>
  </si>
  <si>
    <t>285940</t>
  </si>
  <si>
    <t>6/3/2017</t>
  </si>
  <si>
    <t>982585</t>
  </si>
  <si>
    <t>2/7/2016</t>
  </si>
  <si>
    <t>101515</t>
  </si>
  <si>
    <t>8/11/1974</t>
  </si>
  <si>
    <t>908478</t>
  </si>
  <si>
    <t>10/5/1941</t>
  </si>
  <si>
    <t>976803</t>
  </si>
  <si>
    <t>7/11/1940</t>
  </si>
  <si>
    <t>394262</t>
  </si>
  <si>
    <t>8/29/1961</t>
  </si>
  <si>
    <t>372488</t>
  </si>
  <si>
    <t>7/13/1974</t>
  </si>
  <si>
    <t>915339</t>
  </si>
  <si>
    <t>5/7/1997</t>
  </si>
  <si>
    <t>687501</t>
  </si>
  <si>
    <t>8/21/1976</t>
  </si>
  <si>
    <t>181477</t>
  </si>
  <si>
    <t>8/22/1984</t>
  </si>
  <si>
    <t>594866</t>
  </si>
  <si>
    <t>8/19/2004</t>
  </si>
  <si>
    <t>347274</t>
  </si>
  <si>
    <t>6/17/1993</t>
  </si>
  <si>
    <t>405909</t>
  </si>
  <si>
    <t>8/27/1979</t>
  </si>
  <si>
    <t>284005</t>
  </si>
  <si>
    <t>7/2/1992</t>
  </si>
  <si>
    <t>287844</t>
  </si>
  <si>
    <t>2/15/1952</t>
  </si>
  <si>
    <t>881176</t>
  </si>
  <si>
    <t>1/18/1979</t>
  </si>
  <si>
    <t>530288</t>
  </si>
  <si>
    <t>8/24/1966</t>
  </si>
  <si>
    <t>421873</t>
  </si>
  <si>
    <t>5/8/1969</t>
  </si>
  <si>
    <t>701255</t>
  </si>
  <si>
    <t>3/22/1973</t>
  </si>
  <si>
    <t>706102</t>
  </si>
  <si>
    <t>6/19/1958</t>
  </si>
  <si>
    <t>226852</t>
  </si>
  <si>
    <t>2/24/2017</t>
  </si>
  <si>
    <t>451214</t>
  </si>
  <si>
    <t>4/13/1992</t>
  </si>
  <si>
    <t>922365</t>
  </si>
  <si>
    <t>8/11/2011</t>
  </si>
  <si>
    <t>656164</t>
  </si>
  <si>
    <t>7/22/1956</t>
  </si>
  <si>
    <t>628443</t>
  </si>
  <si>
    <t>6/22/1970</t>
  </si>
  <si>
    <t>385445</t>
  </si>
  <si>
    <t>1/29/1957</t>
  </si>
  <si>
    <t>382490</t>
  </si>
  <si>
    <t>11/6/1997</t>
  </si>
  <si>
    <t>609432</t>
  </si>
  <si>
    <t>5/28/2009</t>
  </si>
  <si>
    <t>984843</t>
  </si>
  <si>
    <t>9/23/1958</t>
  </si>
  <si>
    <t>499108</t>
  </si>
  <si>
    <t>11/21/1949</t>
  </si>
  <si>
    <t>867196</t>
  </si>
  <si>
    <t>6/18/1953</t>
  </si>
  <si>
    <t>552566</t>
  </si>
  <si>
    <t>2/4/1950</t>
  </si>
  <si>
    <t>381217</t>
  </si>
  <si>
    <t>8/5/1962</t>
  </si>
  <si>
    <t>779629</t>
  </si>
  <si>
    <t>6/30/1993</t>
  </si>
  <si>
    <t>484119</t>
  </si>
  <si>
    <t>9/30/1974</t>
  </si>
  <si>
    <t>189566</t>
  </si>
  <si>
    <t>9/8/1962</t>
  </si>
  <si>
    <t>589251</t>
  </si>
  <si>
    <t>6/1/1943</t>
  </si>
  <si>
    <t>934663</t>
  </si>
  <si>
    <t>1/29/1969</t>
  </si>
  <si>
    <t>528483</t>
  </si>
  <si>
    <t>5/3/2010</t>
  </si>
  <si>
    <t>239922</t>
  </si>
  <si>
    <t>10/31/1989</t>
  </si>
  <si>
    <t>131879</t>
  </si>
  <si>
    <t>9/2/1952</t>
  </si>
  <si>
    <t>828717</t>
  </si>
  <si>
    <t>10/8/1978</t>
  </si>
  <si>
    <t>426552</t>
  </si>
  <si>
    <t>9/13/1995</t>
  </si>
  <si>
    <t>742714</t>
  </si>
  <si>
    <t>4/4/1968</t>
  </si>
  <si>
    <t>112311</t>
  </si>
  <si>
    <t>8/11/1990</t>
  </si>
  <si>
    <t>878515</t>
  </si>
  <si>
    <t>7/21/1989</t>
  </si>
  <si>
    <t>942174</t>
  </si>
  <si>
    <t>6/11/1984</t>
  </si>
  <si>
    <t>319191</t>
  </si>
  <si>
    <t>12/16/2010</t>
  </si>
  <si>
    <t>296948</t>
  </si>
  <si>
    <t>12/10/1986</t>
  </si>
  <si>
    <t>778767</t>
  </si>
  <si>
    <t>6/5/1991</t>
  </si>
  <si>
    <t>569694</t>
  </si>
  <si>
    <t>11/7/2018</t>
  </si>
  <si>
    <t>433632</t>
  </si>
  <si>
    <t>9/27/1992</t>
  </si>
  <si>
    <t>210741</t>
  </si>
  <si>
    <t>1/8/1985</t>
  </si>
  <si>
    <t>636423</t>
  </si>
  <si>
    <t>7/4/1983</t>
  </si>
  <si>
    <t>979652</t>
  </si>
  <si>
    <t>5/23/1956</t>
  </si>
  <si>
    <t>801200</t>
  </si>
  <si>
    <t>1/25/1979</t>
  </si>
  <si>
    <t>775261</t>
  </si>
  <si>
    <t>2/23/1952</t>
  </si>
  <si>
    <t>127541</t>
  </si>
  <si>
    <t>7/13/2016</t>
  </si>
  <si>
    <t>442783</t>
  </si>
  <si>
    <t>12/18/2007</t>
  </si>
  <si>
    <t>610159</t>
  </si>
  <si>
    <t>12/5/2005</t>
  </si>
  <si>
    <t>280225</t>
  </si>
  <si>
    <t>8/25/1996</t>
  </si>
  <si>
    <t>659716</t>
  </si>
  <si>
    <t>11/9/2008</t>
  </si>
  <si>
    <t>500890</t>
  </si>
  <si>
    <t>10/15/1958</t>
  </si>
  <si>
    <t>497082</t>
  </si>
  <si>
    <t>1/3/1969</t>
  </si>
  <si>
    <t>397269</t>
  </si>
  <si>
    <t>6/8/2001</t>
  </si>
  <si>
    <t>747682</t>
  </si>
  <si>
    <t>12/4/1985</t>
  </si>
  <si>
    <t>682562</t>
  </si>
  <si>
    <t>4/16/1984</t>
  </si>
  <si>
    <t>444025</t>
  </si>
  <si>
    <t>4/8/1997</t>
  </si>
  <si>
    <t>597131</t>
  </si>
  <si>
    <t>5/17/1954</t>
  </si>
  <si>
    <t>723823</t>
  </si>
  <si>
    <t>5/17/2005</t>
  </si>
  <si>
    <t>637483</t>
  </si>
  <si>
    <t>8/21/2009</t>
  </si>
  <si>
    <t>139501</t>
  </si>
  <si>
    <t>1/1/1994</t>
  </si>
  <si>
    <t>662171</t>
  </si>
  <si>
    <t>10/22/1943</t>
  </si>
  <si>
    <t>488942</t>
  </si>
  <si>
    <t>12/2/1958</t>
  </si>
  <si>
    <t>800314</t>
  </si>
  <si>
    <t>7/20/1963</t>
  </si>
  <si>
    <t>631634</t>
  </si>
  <si>
    <t>1/1/1940</t>
  </si>
  <si>
    <t>773841</t>
  </si>
  <si>
    <t>3/18/1990</t>
  </si>
  <si>
    <t>143337</t>
  </si>
  <si>
    <t>6/21/1980</t>
  </si>
  <si>
    <t>199260</t>
  </si>
  <si>
    <t>1/31/1992</t>
  </si>
  <si>
    <t>177977</t>
  </si>
  <si>
    <t>4/2/1957</t>
  </si>
  <si>
    <t>633141</t>
  </si>
  <si>
    <t>5/20/1943</t>
  </si>
  <si>
    <t>884949</t>
  </si>
  <si>
    <t>12/3/1943</t>
  </si>
  <si>
    <t>222860</t>
  </si>
  <si>
    <t>2/11/2012</t>
  </si>
  <si>
    <t>843274</t>
  </si>
  <si>
    <t>8/11/1941</t>
  </si>
  <si>
    <t>261620</t>
  </si>
  <si>
    <t>7/30/1990</t>
  </si>
  <si>
    <t>738405</t>
  </si>
  <si>
    <t>10/12/1952</t>
  </si>
  <si>
    <t>209144</t>
  </si>
  <si>
    <t>11/22/1948</t>
  </si>
  <si>
    <t>549243</t>
  </si>
  <si>
    <t>6/7/1947</t>
  </si>
  <si>
    <t>189930</t>
  </si>
  <si>
    <t>1/9/1983</t>
  </si>
  <si>
    <t>522270</t>
  </si>
  <si>
    <t>11/21/1940</t>
  </si>
  <si>
    <t>293145</t>
  </si>
  <si>
    <t>8/7/1989</t>
  </si>
  <si>
    <t>520059</t>
  </si>
  <si>
    <t>1/26/1942</t>
  </si>
  <si>
    <t>219792</t>
  </si>
  <si>
    <t>4/21/2003</t>
  </si>
  <si>
    <t>509391</t>
  </si>
  <si>
    <t>11/6/1947</t>
  </si>
  <si>
    <t>985783</t>
  </si>
  <si>
    <t>3/28/1951</t>
  </si>
  <si>
    <t>838883</t>
  </si>
  <si>
    <t>12/10/1980</t>
  </si>
  <si>
    <t>367979</t>
  </si>
  <si>
    <t>9/15/1983</t>
  </si>
  <si>
    <t>366023</t>
  </si>
  <si>
    <t>1/1/1986</t>
  </si>
  <si>
    <t>459470</t>
  </si>
  <si>
    <t>9/13/1987</t>
  </si>
  <si>
    <t>875629</t>
  </si>
  <si>
    <t>514214</t>
  </si>
  <si>
    <t>7/9/1941</t>
  </si>
  <si>
    <t>546645</t>
  </si>
  <si>
    <t>9/6/1971</t>
  </si>
  <si>
    <t>300208</t>
  </si>
  <si>
    <t>4/3/2008</t>
  </si>
  <si>
    <t>512509</t>
  </si>
  <si>
    <t>4/16/1991</t>
  </si>
  <si>
    <t>930802</t>
  </si>
  <si>
    <t>2/18/2018</t>
  </si>
  <si>
    <t>730864</t>
  </si>
  <si>
    <t>4/26/2015</t>
  </si>
  <si>
    <t>215044</t>
  </si>
  <si>
    <t>9/11/2011</t>
  </si>
  <si>
    <t>525493</t>
  </si>
  <si>
    <t>3/28/1976</t>
  </si>
  <si>
    <t>159526</t>
  </si>
  <si>
    <t>12/22/1986</t>
  </si>
  <si>
    <t>366251</t>
  </si>
  <si>
    <t>8/28/1963</t>
  </si>
  <si>
    <t>490418</t>
  </si>
  <si>
    <t>9/29/1950</t>
  </si>
  <si>
    <t>100185</t>
  </si>
  <si>
    <t>7/29/1952</t>
  </si>
  <si>
    <t>586258</t>
  </si>
  <si>
    <t>12/12/2018</t>
  </si>
  <si>
    <t>352584</t>
  </si>
  <si>
    <t>6/13/2000</t>
  </si>
  <si>
    <t>248692</t>
  </si>
  <si>
    <t>3/10/1949</t>
  </si>
  <si>
    <t>221128</t>
  </si>
  <si>
    <t>8/16/1978</t>
  </si>
  <si>
    <t>621556</t>
  </si>
  <si>
    <t>12/12/2010</t>
  </si>
  <si>
    <t>725200</t>
  </si>
  <si>
    <t>3/26/1952</t>
  </si>
  <si>
    <t>120476</t>
  </si>
  <si>
    <t>5/27/1976</t>
  </si>
  <si>
    <t>314997</t>
  </si>
  <si>
    <t>7/31/2001</t>
  </si>
  <si>
    <t>667852</t>
  </si>
  <si>
    <t>3/28/1947</t>
  </si>
  <si>
    <t>890532</t>
  </si>
  <si>
    <t>4/15/1988</t>
  </si>
  <si>
    <t>223660</t>
  </si>
  <si>
    <t>10/20/1986</t>
  </si>
  <si>
    <t>460383</t>
  </si>
  <si>
    <t>8/16/1994</t>
  </si>
  <si>
    <t>994289</t>
  </si>
  <si>
    <t>5/9/1990</t>
  </si>
  <si>
    <t>202785</t>
  </si>
  <si>
    <t>9/11/1948</t>
  </si>
  <si>
    <t>539530</t>
  </si>
  <si>
    <t>3/2/1983</t>
  </si>
  <si>
    <t>868733</t>
  </si>
  <si>
    <t>2/17/1967</t>
  </si>
  <si>
    <t>970794</t>
  </si>
  <si>
    <t>11/1/1969</t>
  </si>
  <si>
    <t>467340</t>
  </si>
  <si>
    <t>9/4/1984</t>
  </si>
  <si>
    <t>569939</t>
  </si>
  <si>
    <t>12/11/2015</t>
  </si>
  <si>
    <t>925655</t>
  </si>
  <si>
    <t>12/26/2017</t>
  </si>
  <si>
    <t>589567</t>
  </si>
  <si>
    <t>5/10/1961</t>
  </si>
  <si>
    <t>957074</t>
  </si>
  <si>
    <t>9/18/1964</t>
  </si>
  <si>
    <t>601428</t>
  </si>
  <si>
    <t>12/23/1980</t>
  </si>
  <si>
    <t>713519</t>
  </si>
  <si>
    <t>2/25/1964</t>
  </si>
  <si>
    <t>149481</t>
  </si>
  <si>
    <t>6/26/1959</t>
  </si>
  <si>
    <t>496679</t>
  </si>
  <si>
    <t>10/19/1951</t>
  </si>
  <si>
    <t>549280</t>
  </si>
  <si>
    <t>12/3/1971</t>
  </si>
  <si>
    <t>731015</t>
  </si>
  <si>
    <t>12/2/1955</t>
  </si>
  <si>
    <t>564633</t>
  </si>
  <si>
    <t>6/1/2011</t>
  </si>
  <si>
    <t>979311</t>
  </si>
  <si>
    <t>12/8/2010</t>
  </si>
  <si>
    <t>492316</t>
  </si>
  <si>
    <t>5/28/1964</t>
  </si>
  <si>
    <t>458440</t>
  </si>
  <si>
    <t>850891</t>
  </si>
  <si>
    <t>4/14/1941</t>
  </si>
  <si>
    <t>560790</t>
  </si>
  <si>
    <t>5/25/2006</t>
  </si>
  <si>
    <t>336329</t>
  </si>
  <si>
    <t>1/23/1947</t>
  </si>
  <si>
    <t>202010</t>
  </si>
  <si>
    <t>11/23/1988</t>
  </si>
  <si>
    <t>649840</t>
  </si>
  <si>
    <t>2/28/1947</t>
  </si>
  <si>
    <t>949894</t>
  </si>
  <si>
    <t>12/21/1946</t>
  </si>
  <si>
    <t>234458</t>
  </si>
  <si>
    <t>5/29/2010</t>
  </si>
  <si>
    <t>466462</t>
  </si>
  <si>
    <t>5/8/1942</t>
  </si>
  <si>
    <t>571041</t>
  </si>
  <si>
    <t>4/16/1947</t>
  </si>
  <si>
    <t>847929</t>
  </si>
  <si>
    <t>10/14/1951</t>
  </si>
  <si>
    <t>865336</t>
  </si>
  <si>
    <t>11/27/1969</t>
  </si>
  <si>
    <t>900289</t>
  </si>
  <si>
    <t>1/29/1987</t>
  </si>
  <si>
    <t>343987</t>
  </si>
  <si>
    <t>7/31/2010</t>
  </si>
  <si>
    <t>345349</t>
  </si>
  <si>
    <t>2/22/2013</t>
  </si>
  <si>
    <t>430898</t>
  </si>
  <si>
    <t>5/4/1947</t>
  </si>
  <si>
    <t>131132</t>
  </si>
  <si>
    <t>8/6/1949</t>
  </si>
  <si>
    <t>814220</t>
  </si>
  <si>
    <t>4/21/1942</t>
  </si>
  <si>
    <t>467421</t>
  </si>
  <si>
    <t>4/12/1975</t>
  </si>
  <si>
    <t>687384</t>
  </si>
  <si>
    <t>4/2/1963</t>
  </si>
  <si>
    <t>202946</t>
  </si>
  <si>
    <t>9/16/1960</t>
  </si>
  <si>
    <t>683299</t>
  </si>
  <si>
    <t>9/12/2000</t>
  </si>
  <si>
    <t>503844</t>
  </si>
  <si>
    <t>10/2/1981</t>
  </si>
  <si>
    <t>214055</t>
  </si>
  <si>
    <t>12/4/1976</t>
  </si>
  <si>
    <t>830903</t>
  </si>
  <si>
    <t>3/3/1994</t>
  </si>
  <si>
    <t>654273</t>
  </si>
  <si>
    <t>10/10/1942</t>
  </si>
  <si>
    <t>451936</t>
  </si>
  <si>
    <t>10/22/1958</t>
  </si>
  <si>
    <t>561709</t>
  </si>
  <si>
    <t>11/23/1959</t>
  </si>
  <si>
    <t>603071</t>
  </si>
  <si>
    <t>5/7/1969</t>
  </si>
  <si>
    <t>298919</t>
  </si>
  <si>
    <t>7/17/2008</t>
  </si>
  <si>
    <t>729571</t>
  </si>
  <si>
    <t>8/1/2004</t>
  </si>
  <si>
    <t>182216</t>
  </si>
  <si>
    <t>2/13/1979</t>
  </si>
  <si>
    <t>510071</t>
  </si>
  <si>
    <t>10/10/1992</t>
  </si>
  <si>
    <t>610633</t>
  </si>
  <si>
    <t>7/13/1993</t>
  </si>
  <si>
    <t>339084</t>
  </si>
  <si>
    <t>10/6/1963</t>
  </si>
  <si>
    <t>397552</t>
  </si>
  <si>
    <t>10/31/1941</t>
  </si>
  <si>
    <t>918799</t>
  </si>
  <si>
    <t>10/22/2010</t>
  </si>
  <si>
    <t>700604</t>
  </si>
  <si>
    <t>8/24/1969</t>
  </si>
  <si>
    <t>466954</t>
  </si>
  <si>
    <t>3/5/1955</t>
  </si>
  <si>
    <t>128016</t>
  </si>
  <si>
    <t>10/26/1952</t>
  </si>
  <si>
    <t>436308</t>
  </si>
  <si>
    <t>10/3/1959</t>
  </si>
  <si>
    <t>325644</t>
  </si>
  <si>
    <t>3/20/1995</t>
  </si>
  <si>
    <t>809555</t>
  </si>
  <si>
    <t>5/7/1952</t>
  </si>
  <si>
    <t>907496</t>
  </si>
  <si>
    <t>12/22/2002</t>
  </si>
  <si>
    <t>459563</t>
  </si>
  <si>
    <t>302454</t>
  </si>
  <si>
    <t>7/25/2018</t>
  </si>
  <si>
    <t>791553</t>
  </si>
  <si>
    <t>9/24/1982</t>
  </si>
  <si>
    <t>785906</t>
  </si>
  <si>
    <t>6/20/1967</t>
  </si>
  <si>
    <t>717206</t>
  </si>
  <si>
    <t>6/19/1963</t>
  </si>
  <si>
    <t>993112</t>
  </si>
  <si>
    <t>10/2/1942</t>
  </si>
  <si>
    <t>369873</t>
  </si>
  <si>
    <t>9/8/1972</t>
  </si>
  <si>
    <t>637797</t>
  </si>
  <si>
    <t>9/11/1956</t>
  </si>
  <si>
    <t>304982</t>
  </si>
  <si>
    <t>4/8/1979</t>
  </si>
  <si>
    <t>338686</t>
  </si>
  <si>
    <t>12/17/1979</t>
  </si>
  <si>
    <t>768053</t>
  </si>
  <si>
    <t>1/17/1998</t>
  </si>
  <si>
    <t>349244</t>
  </si>
  <si>
    <t>1/18/2007</t>
  </si>
  <si>
    <t>628497</t>
  </si>
  <si>
    <t>10/26/2005</t>
  </si>
  <si>
    <t>560440</t>
  </si>
  <si>
    <t>5/30/1979</t>
  </si>
  <si>
    <t>881325</t>
  </si>
  <si>
    <t>7/11/1981</t>
  </si>
  <si>
    <t>311336</t>
  </si>
  <si>
    <t>11/12/2018</t>
  </si>
  <si>
    <t>245830</t>
  </si>
  <si>
    <t>9/2/1972</t>
  </si>
  <si>
    <t>814161</t>
  </si>
  <si>
    <t>12/2/1999</t>
  </si>
  <si>
    <t>593940</t>
  </si>
  <si>
    <t>3/18/1981</t>
  </si>
  <si>
    <t>419675</t>
  </si>
  <si>
    <t>6/19/1965</t>
  </si>
  <si>
    <t>849187</t>
  </si>
  <si>
    <t>10/27/1951</t>
  </si>
  <si>
    <t>704346</t>
  </si>
  <si>
    <t>11/4/1978</t>
  </si>
  <si>
    <t>116248</t>
  </si>
  <si>
    <t>2/4/2004</t>
  </si>
  <si>
    <t>489429</t>
  </si>
  <si>
    <t>11/16/2007</t>
  </si>
  <si>
    <t>424911</t>
  </si>
  <si>
    <t>3/21/1947</t>
  </si>
  <si>
    <t>970978</t>
  </si>
  <si>
    <t>1/28/1945</t>
  </si>
  <si>
    <t>494955</t>
  </si>
  <si>
    <t>7/2/1985</t>
  </si>
  <si>
    <t>481921</t>
  </si>
  <si>
    <t>5/5/1970</t>
  </si>
  <si>
    <t>823045</t>
  </si>
  <si>
    <t>1/23/1990</t>
  </si>
  <si>
    <t>990258</t>
  </si>
  <si>
    <t>12/3/1998</t>
  </si>
  <si>
    <t>681753</t>
  </si>
  <si>
    <t>9/1/2019</t>
  </si>
  <si>
    <t>465769</t>
  </si>
  <si>
    <t>2/10/1979</t>
  </si>
  <si>
    <t>890720</t>
  </si>
  <si>
    <t>9/20/1967</t>
  </si>
  <si>
    <t>514489</t>
  </si>
  <si>
    <t>5/3/2005</t>
  </si>
  <si>
    <t>964885</t>
  </si>
  <si>
    <t>1/5/1990</t>
  </si>
  <si>
    <t>256154</t>
  </si>
  <si>
    <t>3/30/1957</t>
  </si>
  <si>
    <t>115578</t>
  </si>
  <si>
    <t>9/2/1961</t>
  </si>
  <si>
    <t>111490</t>
  </si>
  <si>
    <t>3/1/1946</t>
  </si>
  <si>
    <t>344841</t>
  </si>
  <si>
    <t>12/9/2002</t>
  </si>
  <si>
    <t>210727</t>
  </si>
  <si>
    <t>4/6/1968</t>
  </si>
  <si>
    <t>466664</t>
  </si>
  <si>
    <t>5/14/1981</t>
  </si>
  <si>
    <t>739156</t>
  </si>
  <si>
    <t>10/20/1976</t>
  </si>
  <si>
    <t>192752</t>
  </si>
  <si>
    <t>8/29/1981</t>
  </si>
  <si>
    <t>656037</t>
  </si>
  <si>
    <t>8/17/1961</t>
  </si>
  <si>
    <t>316468</t>
  </si>
  <si>
    <t>9/22/1963</t>
  </si>
  <si>
    <t>788351</t>
  </si>
  <si>
    <t>5/7/1985</t>
  </si>
  <si>
    <t>114484</t>
  </si>
  <si>
    <t>1/19/1987</t>
  </si>
  <si>
    <t>211683</t>
  </si>
  <si>
    <t>9/4/2005</t>
  </si>
  <si>
    <t>212881</t>
  </si>
  <si>
    <t>3/19/2002</t>
  </si>
  <si>
    <t>228463</t>
  </si>
  <si>
    <t>11/20/2011</t>
  </si>
  <si>
    <t>124765</t>
  </si>
  <si>
    <t>10/15/1965</t>
  </si>
  <si>
    <t>879426</t>
  </si>
  <si>
    <t>9/28/1996</t>
  </si>
  <si>
    <t>703312</t>
  </si>
  <si>
    <t>822881</t>
  </si>
  <si>
    <t>3/26/2012</t>
  </si>
  <si>
    <t>656301</t>
  </si>
  <si>
    <t>1/31/1994</t>
  </si>
  <si>
    <t>619806</t>
  </si>
  <si>
    <t>2/11/1974</t>
  </si>
  <si>
    <t>489883</t>
  </si>
  <si>
    <t>11/21/1972</t>
  </si>
  <si>
    <t>158161</t>
  </si>
  <si>
    <t>10/15/2014</t>
  </si>
  <si>
    <t>751597</t>
  </si>
  <si>
    <t>12/25/1966</t>
  </si>
  <si>
    <t>766091</t>
  </si>
  <si>
    <t>10/24/2013</t>
  </si>
  <si>
    <t>306535</t>
  </si>
  <si>
    <t>12/23/1977</t>
  </si>
  <si>
    <t>306044</t>
  </si>
  <si>
    <t>5/13/1993</t>
  </si>
  <si>
    <t>792923</t>
  </si>
  <si>
    <t>10/16/1958</t>
  </si>
  <si>
    <t>194837</t>
  </si>
  <si>
    <t>6/28/1962</t>
  </si>
  <si>
    <t>858519</t>
  </si>
  <si>
    <t>1/27/2000</t>
  </si>
  <si>
    <t>854139</t>
  </si>
  <si>
    <t>7/12/1978</t>
  </si>
  <si>
    <t>591539</t>
  </si>
  <si>
    <t>11/7/1986</t>
  </si>
  <si>
    <t>960910</t>
  </si>
  <si>
    <t>12/16/1997</t>
  </si>
  <si>
    <t>543731</t>
  </si>
  <si>
    <t>5/18/1989</t>
  </si>
  <si>
    <t>754172</t>
  </si>
  <si>
    <t>7/21/2011</t>
  </si>
  <si>
    <t>798734</t>
  </si>
  <si>
    <t>11/5/1957</t>
  </si>
  <si>
    <t>516450</t>
  </si>
  <si>
    <t>1/12/1986</t>
  </si>
  <si>
    <t>597729</t>
  </si>
  <si>
    <t>2/7/1958</t>
  </si>
  <si>
    <t>428393</t>
  </si>
  <si>
    <t>5/12/2008</t>
  </si>
  <si>
    <t>572462</t>
  </si>
  <si>
    <t>5/29/1965</t>
  </si>
  <si>
    <t>914893</t>
  </si>
  <si>
    <t>112430</t>
  </si>
  <si>
    <t>12/8/1948</t>
  </si>
  <si>
    <t>220423</t>
  </si>
  <si>
    <t>5/23/1940</t>
  </si>
  <si>
    <t>415942</t>
  </si>
  <si>
    <t>9/16/1947</t>
  </si>
  <si>
    <t>993957</t>
  </si>
  <si>
    <t>3/7/1944</t>
  </si>
  <si>
    <t>759212</t>
  </si>
  <si>
    <t>10/6/2017</t>
  </si>
  <si>
    <t>783242</t>
  </si>
  <si>
    <t>2/12/1952</t>
  </si>
  <si>
    <t>751067</t>
  </si>
  <si>
    <t>9/6/2000</t>
  </si>
  <si>
    <t>242782</t>
  </si>
  <si>
    <t>11/4/1942</t>
  </si>
  <si>
    <t>563716</t>
  </si>
  <si>
    <t>2/3/1989</t>
  </si>
  <si>
    <t>217393</t>
  </si>
  <si>
    <t>10/29/1947</t>
  </si>
  <si>
    <t>760048</t>
  </si>
  <si>
    <t>4/17/2011</t>
  </si>
  <si>
    <t>142608</t>
  </si>
  <si>
    <t>Demographiic</t>
  </si>
  <si>
    <t>107924</t>
  </si>
  <si>
    <t>9/2/1975</t>
  </si>
  <si>
    <t>534142</t>
  </si>
  <si>
    <t>11/9/1954</t>
  </si>
  <si>
    <t>465564</t>
  </si>
  <si>
    <t>8/12/2015</t>
  </si>
  <si>
    <t>488809</t>
  </si>
  <si>
    <t>7/24/2004</t>
  </si>
  <si>
    <t>201146</t>
  </si>
  <si>
    <t>7/1/1976</t>
  </si>
  <si>
    <t>378506</t>
  </si>
  <si>
    <t>7/8/1968</t>
  </si>
  <si>
    <t>268478</t>
  </si>
  <si>
    <t>6/14/1952</t>
  </si>
  <si>
    <t>850145</t>
  </si>
  <si>
    <t>4/4/2019</t>
  </si>
  <si>
    <t>604078</t>
  </si>
  <si>
    <t>9/18/1997</t>
  </si>
  <si>
    <t>620952</t>
  </si>
  <si>
    <t>9/5/1979</t>
  </si>
  <si>
    <t>497542</t>
  </si>
  <si>
    <t>5/19/2005</t>
  </si>
  <si>
    <t>151356</t>
  </si>
  <si>
    <t>2/11/2013</t>
  </si>
  <si>
    <t>121769</t>
  </si>
  <si>
    <t>12/31/1948</t>
  </si>
  <si>
    <t>647719</t>
  </si>
  <si>
    <t>7/20/2000</t>
  </si>
  <si>
    <t>124463</t>
  </si>
  <si>
    <t>5/12/1943</t>
  </si>
  <si>
    <t>642548</t>
  </si>
  <si>
    <t>6/1/2017</t>
  </si>
  <si>
    <t>115026</t>
  </si>
  <si>
    <t>2/26/1993</t>
  </si>
  <si>
    <t>340036</t>
  </si>
  <si>
    <t>10/16/1952</t>
  </si>
  <si>
    <t>881809</t>
  </si>
  <si>
    <t>10/29/1961</t>
  </si>
  <si>
    <t>127539</t>
  </si>
  <si>
    <t>10/2/2001</t>
  </si>
  <si>
    <t>732882</t>
  </si>
  <si>
    <t>6/15/1950</t>
  </si>
  <si>
    <t>716137</t>
  </si>
  <si>
    <t>1/6/1987</t>
  </si>
  <si>
    <t>911428</t>
  </si>
  <si>
    <t>5/4/2005</t>
  </si>
  <si>
    <t>350315</t>
  </si>
  <si>
    <t>4/11/2014</t>
  </si>
  <si>
    <t>527503</t>
  </si>
  <si>
    <t>1/8/1967</t>
  </si>
  <si>
    <t>793732</t>
  </si>
  <si>
    <t>5/19/1986</t>
  </si>
  <si>
    <t>499227</t>
  </si>
  <si>
    <t>9/12/1978</t>
  </si>
  <si>
    <t>697757</t>
  </si>
  <si>
    <t>414182</t>
  </si>
  <si>
    <t>1/24/1973</t>
  </si>
  <si>
    <t>894124</t>
  </si>
  <si>
    <t>10/20/1981</t>
  </si>
  <si>
    <t>425443</t>
  </si>
  <si>
    <t>7/17/1977</t>
  </si>
  <si>
    <t>557275</t>
  </si>
  <si>
    <t>9/9/1999</t>
  </si>
  <si>
    <t>940236</t>
  </si>
  <si>
    <t>12/28/1957</t>
  </si>
  <si>
    <t>825747</t>
  </si>
  <si>
    <t>10/7/1958</t>
  </si>
  <si>
    <t>374944</t>
  </si>
  <si>
    <t>3/20/1965</t>
  </si>
  <si>
    <t>813986</t>
  </si>
  <si>
    <t>5/2/1979</t>
  </si>
  <si>
    <t>618456</t>
  </si>
  <si>
    <t>3/13/2009</t>
  </si>
  <si>
    <t>269274</t>
  </si>
  <si>
    <t>1/8/2000</t>
  </si>
  <si>
    <t>435115</t>
  </si>
  <si>
    <t>2/7/2012</t>
  </si>
  <si>
    <t>398707</t>
  </si>
  <si>
    <t>5/3/2012</t>
  </si>
  <si>
    <t>630270</t>
  </si>
  <si>
    <t>1/26/1964</t>
  </si>
  <si>
    <t>253699</t>
  </si>
  <si>
    <t>12/31/1954</t>
  </si>
  <si>
    <t>951213</t>
  </si>
  <si>
    <t>8/29/1982</t>
  </si>
  <si>
    <t>121392</t>
  </si>
  <si>
    <t>4/6/1980</t>
  </si>
  <si>
    <t>256547</t>
  </si>
  <si>
    <t>8/21/2013</t>
  </si>
  <si>
    <t>970285</t>
  </si>
  <si>
    <t>8/21/1988</t>
  </si>
  <si>
    <t>150324</t>
  </si>
  <si>
    <t>6/13/2017</t>
  </si>
  <si>
    <t>103488</t>
  </si>
  <si>
    <t>9/26/1957</t>
  </si>
  <si>
    <t>938419</t>
  </si>
  <si>
    <t>10/4/2003</t>
  </si>
  <si>
    <t>201221</t>
  </si>
  <si>
    <t>11/10/1941</t>
  </si>
  <si>
    <t>488622</t>
  </si>
  <si>
    <t>2/19/1945</t>
  </si>
  <si>
    <t>402835</t>
  </si>
  <si>
    <t>5/25/1941</t>
  </si>
  <si>
    <t>673773</t>
  </si>
  <si>
    <t>9/22/1951</t>
  </si>
  <si>
    <t>853490</t>
  </si>
  <si>
    <t>8/18/2011</t>
  </si>
  <si>
    <t>239999</t>
  </si>
  <si>
    <t>9/7/1988</t>
  </si>
  <si>
    <t>166958</t>
  </si>
  <si>
    <t>5/2/1947</t>
  </si>
  <si>
    <t>222493</t>
  </si>
  <si>
    <t>12/6/1941</t>
  </si>
  <si>
    <t>101744</t>
  </si>
  <si>
    <t>1/21/1945</t>
  </si>
  <si>
    <t>973817</t>
  </si>
  <si>
    <t>7/26/1990</t>
  </si>
  <si>
    <t>692114</t>
  </si>
  <si>
    <t>9/10/1973</t>
  </si>
  <si>
    <t>896280</t>
  </si>
  <si>
    <t>9/24/1996</t>
  </si>
  <si>
    <t>610368</t>
  </si>
  <si>
    <t>7/15/1965</t>
  </si>
  <si>
    <t>422091</t>
  </si>
  <si>
    <t>3/9/2001</t>
  </si>
  <si>
    <t>162027</t>
  </si>
  <si>
    <t>3/15/1992</t>
  </si>
  <si>
    <t>273251</t>
  </si>
  <si>
    <t>3/23/1963</t>
  </si>
  <si>
    <t>699074</t>
  </si>
  <si>
    <t>8/13/1972</t>
  </si>
  <si>
    <t>549892</t>
  </si>
  <si>
    <t>7/5/1959</t>
  </si>
  <si>
    <t>472221</t>
  </si>
  <si>
    <t>10/12/1994</t>
  </si>
  <si>
    <t>312324</t>
  </si>
  <si>
    <t>8/13/2016</t>
  </si>
  <si>
    <t>935038</t>
  </si>
  <si>
    <t>1/24/2007</t>
  </si>
  <si>
    <t>883835</t>
  </si>
  <si>
    <t>11/18/1987</t>
  </si>
  <si>
    <t>660049</t>
  </si>
  <si>
    <t>11/21/1984</t>
  </si>
  <si>
    <t>202400</t>
  </si>
  <si>
    <t>478868</t>
  </si>
  <si>
    <t>10/27/1958</t>
  </si>
  <si>
    <t>593067</t>
  </si>
  <si>
    <t>10/1/2019</t>
  </si>
  <si>
    <t>982613</t>
  </si>
  <si>
    <t>5/29/1949</t>
  </si>
  <si>
    <t>786474</t>
  </si>
  <si>
    <t>4/5/1992</t>
  </si>
  <si>
    <t>485343</t>
  </si>
  <si>
    <t>6/21/1945</t>
  </si>
  <si>
    <t>717582</t>
  </si>
  <si>
    <t>8/5/1950</t>
  </si>
  <si>
    <t>332370</t>
  </si>
  <si>
    <t>10/26/2002</t>
  </si>
  <si>
    <t>146884</t>
  </si>
  <si>
    <t>5/19/1961</t>
  </si>
  <si>
    <t>698848</t>
  </si>
  <si>
    <t>5/8/1970</t>
  </si>
  <si>
    <t>720947</t>
  </si>
  <si>
    <t>11/17/1997</t>
  </si>
  <si>
    <t>168221</t>
  </si>
  <si>
    <t>2/26/2003</t>
  </si>
  <si>
    <t>900582</t>
  </si>
  <si>
    <t>12/9/1963</t>
  </si>
  <si>
    <t>333873</t>
  </si>
  <si>
    <t>8/31/1994</t>
  </si>
  <si>
    <t>319351</t>
  </si>
  <si>
    <t>8/11/1961</t>
  </si>
  <si>
    <t>228495</t>
  </si>
  <si>
    <t>4/7/2006</t>
  </si>
  <si>
    <t>163670</t>
  </si>
  <si>
    <t>9/7/1970</t>
  </si>
  <si>
    <t>801185</t>
  </si>
  <si>
    <t>3/17/1975</t>
  </si>
  <si>
    <t>625210</t>
  </si>
  <si>
    <t>12/23/1995</t>
  </si>
  <si>
    <t>615502</t>
  </si>
  <si>
    <t>10/1/1973</t>
  </si>
  <si>
    <t>541236</t>
  </si>
  <si>
    <t>4/13/1964</t>
  </si>
  <si>
    <t>861502</t>
  </si>
  <si>
    <t>5/7/1981</t>
  </si>
  <si>
    <t>159537</t>
  </si>
  <si>
    <t>7/30/2012</t>
  </si>
  <si>
    <t>252873</t>
  </si>
  <si>
    <t>2/17/1946</t>
  </si>
  <si>
    <t>383716</t>
  </si>
  <si>
    <t>6/22/2000</t>
  </si>
  <si>
    <t>974075</t>
  </si>
  <si>
    <t>3/24/1982</t>
  </si>
  <si>
    <t>960401</t>
  </si>
  <si>
    <t>2/26/1991</t>
  </si>
  <si>
    <t>725517</t>
  </si>
  <si>
    <t>11/29/1943</t>
  </si>
  <si>
    <t>947646</t>
  </si>
  <si>
    <t>169924</t>
  </si>
  <si>
    <t>10/20/1977</t>
  </si>
  <si>
    <t>188536</t>
  </si>
  <si>
    <t>12/25/1946</t>
  </si>
  <si>
    <t>512357</t>
  </si>
  <si>
    <t>11/19/2009</t>
  </si>
  <si>
    <t>892110</t>
  </si>
  <si>
    <t>5/27/1955</t>
  </si>
  <si>
    <t>350952</t>
  </si>
  <si>
    <t>5/14/1997</t>
  </si>
  <si>
    <t>546446</t>
  </si>
  <si>
    <t>3/31/1973</t>
  </si>
  <si>
    <t>274486</t>
  </si>
  <si>
    <t>4/11/2010</t>
  </si>
  <si>
    <t>889441</t>
  </si>
  <si>
    <t>9/23/2000</t>
  </si>
  <si>
    <t>222775</t>
  </si>
  <si>
    <t>11/30/1960</t>
  </si>
  <si>
    <t>113596</t>
  </si>
  <si>
    <t>11/19/2005</t>
  </si>
  <si>
    <t>391064</t>
  </si>
  <si>
    <t>9/7/1959</t>
  </si>
  <si>
    <t>662004</t>
  </si>
  <si>
    <t>4/3/2014</t>
  </si>
  <si>
    <t>339282</t>
  </si>
  <si>
    <t>10/31/1968</t>
  </si>
  <si>
    <t>382180</t>
  </si>
  <si>
    <t>12/14/1975</t>
  </si>
  <si>
    <t>272178</t>
  </si>
  <si>
    <t>3/3/1985</t>
  </si>
  <si>
    <t>861565</t>
  </si>
  <si>
    <t>5/19/1996</t>
  </si>
  <si>
    <t>901811</t>
  </si>
  <si>
    <t>8/28/1968</t>
  </si>
  <si>
    <t>451570</t>
  </si>
  <si>
    <t>4/21/1974</t>
  </si>
  <si>
    <t>497693</t>
  </si>
  <si>
    <t>3/14/1970</t>
  </si>
  <si>
    <t>569494</t>
  </si>
  <si>
    <t>8/30/1976</t>
  </si>
  <si>
    <t>719232</t>
  </si>
  <si>
    <t>3/6/1983</t>
  </si>
  <si>
    <t>158323</t>
  </si>
  <si>
    <t>5/7/1973</t>
  </si>
  <si>
    <t>931023</t>
  </si>
  <si>
    <t>3/5/1985</t>
  </si>
  <si>
    <t>567696</t>
  </si>
  <si>
    <t>9/17/1943</t>
  </si>
  <si>
    <t>356495</t>
  </si>
  <si>
    <t>2/2/1981</t>
  </si>
  <si>
    <t>314876</t>
  </si>
  <si>
    <t>2/13/2013</t>
  </si>
  <si>
    <t>148755</t>
  </si>
  <si>
    <t>10/21/1970</t>
  </si>
  <si>
    <t>207622</t>
  </si>
  <si>
    <t>12/29/1959</t>
  </si>
  <si>
    <t>743567</t>
  </si>
  <si>
    <t>9/19/1971</t>
  </si>
  <si>
    <t>909727</t>
  </si>
  <si>
    <t>1/20/2011</t>
  </si>
  <si>
    <t>921939</t>
  </si>
  <si>
    <t>2/5/1963</t>
  </si>
  <si>
    <t>660162</t>
  </si>
  <si>
    <t>12/2/2001</t>
  </si>
  <si>
    <t>212028</t>
  </si>
  <si>
    <t>2/19/2008</t>
  </si>
  <si>
    <t>314233</t>
  </si>
  <si>
    <t>12/16/2018</t>
  </si>
  <si>
    <t>385540</t>
  </si>
  <si>
    <t>2/1/1943</t>
  </si>
  <si>
    <t>528074</t>
  </si>
  <si>
    <t>5/26/2013</t>
  </si>
  <si>
    <t>598899</t>
  </si>
  <si>
    <t>1/10/1999</t>
  </si>
  <si>
    <t>740085</t>
  </si>
  <si>
    <t>10/8/2002</t>
  </si>
  <si>
    <t>325886</t>
  </si>
  <si>
    <t>5/19/1941</t>
  </si>
  <si>
    <t>368497</t>
  </si>
  <si>
    <t>7/29/1991</t>
  </si>
  <si>
    <t>145716</t>
  </si>
  <si>
    <t>652834</t>
  </si>
  <si>
    <t>11/19/1982</t>
  </si>
  <si>
    <t>611755</t>
  </si>
  <si>
    <t>2/11/1949</t>
  </si>
  <si>
    <t>817709</t>
  </si>
  <si>
    <t>11/3/1988</t>
  </si>
  <si>
    <t>166124</t>
  </si>
  <si>
    <t>5/31/1966</t>
  </si>
  <si>
    <t>939708</t>
  </si>
  <si>
    <t>4/1/1971</t>
  </si>
  <si>
    <t>986393</t>
  </si>
  <si>
    <t>12/14/2003</t>
  </si>
  <si>
    <t>228727</t>
  </si>
  <si>
    <t>3/29/1964</t>
  </si>
  <si>
    <t>808972</t>
  </si>
  <si>
    <t>2/19/2006</t>
  </si>
  <si>
    <t>997703</t>
  </si>
  <si>
    <t>1/7/1998</t>
  </si>
  <si>
    <t>534626</t>
  </si>
  <si>
    <t>6/25/1944</t>
  </si>
  <si>
    <t>701002</t>
  </si>
  <si>
    <t>3/2/1989</t>
  </si>
  <si>
    <t>232704</t>
  </si>
  <si>
    <t>10/20/1956</t>
  </si>
  <si>
    <t>661243</t>
  </si>
  <si>
    <t>11/17/2011</t>
  </si>
  <si>
    <t>445532</t>
  </si>
  <si>
    <t>10/8/1972</t>
  </si>
  <si>
    <t>307727</t>
  </si>
  <si>
    <t>1/6/1972</t>
  </si>
  <si>
    <t>319379</t>
  </si>
  <si>
    <t>5/6/1974</t>
  </si>
  <si>
    <t>796180</t>
  </si>
  <si>
    <t>3/10/1944</t>
  </si>
  <si>
    <t>720200</t>
  </si>
  <si>
    <t>12/24/1996</t>
  </si>
  <si>
    <t>827538</t>
  </si>
  <si>
    <t>12/21/1982</t>
  </si>
  <si>
    <t>734567</t>
  </si>
  <si>
    <t>1/22/1976</t>
  </si>
  <si>
    <t>152219</t>
  </si>
  <si>
    <t>11/18/1968</t>
  </si>
  <si>
    <t>159759</t>
  </si>
  <si>
    <t>4/29/1993</t>
  </si>
  <si>
    <t>155384</t>
  </si>
  <si>
    <t>7/4/1992</t>
  </si>
  <si>
    <t>428406</t>
  </si>
  <si>
    <t>8/8/1972</t>
  </si>
  <si>
    <t>442375</t>
  </si>
  <si>
    <t>6/15/1985</t>
  </si>
  <si>
    <t>826580</t>
  </si>
  <si>
    <t>9/6/1975</t>
  </si>
  <si>
    <t>375840</t>
  </si>
  <si>
    <t>3/8/1963</t>
  </si>
  <si>
    <t>213378</t>
  </si>
  <si>
    <t>7/3/1987</t>
  </si>
  <si>
    <t>Demagraphic</t>
  </si>
  <si>
    <t>182172</t>
  </si>
  <si>
    <t>11/11/1940</t>
  </si>
  <si>
    <t>293881</t>
  </si>
  <si>
    <t>3/10/1963</t>
  </si>
  <si>
    <t>900970</t>
  </si>
  <si>
    <t>2/27/1985</t>
  </si>
  <si>
    <t>423343</t>
  </si>
  <si>
    <t>7/25/1947</t>
  </si>
  <si>
    <t>562722</t>
  </si>
  <si>
    <t>8/9/2007</t>
  </si>
  <si>
    <t>423637</t>
  </si>
  <si>
    <t>1/30/1941</t>
  </si>
  <si>
    <t>937520</t>
  </si>
  <si>
    <t>2/8/1964</t>
  </si>
  <si>
    <t>577581</t>
  </si>
  <si>
    <t>6/22/1960</t>
  </si>
  <si>
    <t>889600</t>
  </si>
  <si>
    <t>6/2/1946</t>
  </si>
  <si>
    <t>229517</t>
  </si>
  <si>
    <t>5/26/1969</t>
  </si>
  <si>
    <t>189309</t>
  </si>
  <si>
    <t>1/29/1985</t>
  </si>
  <si>
    <t>511264</t>
  </si>
  <si>
    <t>7/7/1957</t>
  </si>
  <si>
    <t>543527</t>
  </si>
  <si>
    <t>2/23/2013</t>
  </si>
  <si>
    <t>491387</t>
  </si>
  <si>
    <t>11/4/2001</t>
  </si>
  <si>
    <t>940125</t>
  </si>
  <si>
    <t>9/22/1949</t>
  </si>
  <si>
    <t>971397</t>
  </si>
  <si>
    <t>703596</t>
  </si>
  <si>
    <t>6/6/1948</t>
  </si>
  <si>
    <t>172511</t>
  </si>
  <si>
    <t>7/11/1945</t>
  </si>
  <si>
    <t>693419</t>
  </si>
  <si>
    <t>2/27/1950</t>
  </si>
  <si>
    <t>759289</t>
  </si>
  <si>
    <t>8/9/1965</t>
  </si>
  <si>
    <t>897320</t>
  </si>
  <si>
    <t>4/13/1978</t>
  </si>
  <si>
    <t>762315</t>
  </si>
  <si>
    <t>1/26/1940</t>
  </si>
  <si>
    <t>802490</t>
  </si>
  <si>
    <t>5/13/1970</t>
  </si>
  <si>
    <t>701314</t>
  </si>
  <si>
    <t>3/27/1981</t>
  </si>
  <si>
    <t>371271</t>
  </si>
  <si>
    <t>8/28/2001</t>
  </si>
  <si>
    <t>803346</t>
  </si>
  <si>
    <t>9/17/2015</t>
  </si>
  <si>
    <t>677472</t>
  </si>
  <si>
    <t>1/18/1996</t>
  </si>
  <si>
    <t>259388</t>
  </si>
  <si>
    <t>8/29/1984</t>
  </si>
  <si>
    <t>435013</t>
  </si>
  <si>
    <t>9/1/1998</t>
  </si>
  <si>
    <t>832494</t>
  </si>
  <si>
    <t>6/23/1964</t>
  </si>
  <si>
    <t>790504</t>
  </si>
  <si>
    <t>6/13/1955</t>
  </si>
  <si>
    <t>691430</t>
  </si>
  <si>
    <t>4/25/1988</t>
  </si>
  <si>
    <t>917106</t>
  </si>
  <si>
    <t>10/16/1942</t>
  </si>
  <si>
    <t>762634</t>
  </si>
  <si>
    <t>1/14/1980</t>
  </si>
  <si>
    <t>125311</t>
  </si>
  <si>
    <t>5/1/2008</t>
  </si>
  <si>
    <t>182986</t>
  </si>
  <si>
    <t>1/1/2006</t>
  </si>
  <si>
    <t>346957</t>
  </si>
  <si>
    <t>12/29/1990</t>
  </si>
  <si>
    <t>942724</t>
  </si>
  <si>
    <t>5/23/1979</t>
  </si>
  <si>
    <t>503279</t>
  </si>
  <si>
    <t>4/13/1967</t>
  </si>
  <si>
    <t>217539</t>
  </si>
  <si>
    <t>7/3/1954</t>
  </si>
  <si>
    <t>701647</t>
  </si>
  <si>
    <t>4/27/1954</t>
  </si>
  <si>
    <t>415762</t>
  </si>
  <si>
    <t>11/3/1949</t>
  </si>
  <si>
    <t>769158</t>
  </si>
  <si>
    <t>3/9/1996</t>
  </si>
  <si>
    <t>194394</t>
  </si>
  <si>
    <t>6/18/1991</t>
  </si>
  <si>
    <t>202437</t>
  </si>
  <si>
    <t>12/30/1976</t>
  </si>
  <si>
    <t>494925</t>
  </si>
  <si>
    <t>11/29/1957</t>
  </si>
  <si>
    <t>341542</t>
  </si>
  <si>
    <t>12/26/1984</t>
  </si>
  <si>
    <t>559179</t>
  </si>
  <si>
    <t>2/18/1979</t>
  </si>
  <si>
    <t>625189</t>
  </si>
  <si>
    <t>7/19/1985</t>
  </si>
  <si>
    <t>933326</t>
  </si>
  <si>
    <t>10/6/2010</t>
  </si>
  <si>
    <t>507932</t>
  </si>
  <si>
    <t>8/15/2005</t>
  </si>
  <si>
    <t>644707</t>
  </si>
  <si>
    <t>7/5/1995</t>
  </si>
  <si>
    <t>485637</t>
  </si>
  <si>
    <t>10/20/2001</t>
  </si>
  <si>
    <t>142674</t>
  </si>
  <si>
    <t>9/2/1987</t>
  </si>
  <si>
    <t>540772</t>
  </si>
  <si>
    <t>5/15/1957</t>
  </si>
  <si>
    <t>963545</t>
  </si>
  <si>
    <t>12/19/2001</t>
  </si>
  <si>
    <t>919938</t>
  </si>
  <si>
    <t>12/6/1995</t>
  </si>
  <si>
    <t>167545</t>
  </si>
  <si>
    <t>3/15/1987</t>
  </si>
  <si>
    <t>439709</t>
  </si>
  <si>
    <t>158058</t>
  </si>
  <si>
    <t>2/7/1955</t>
  </si>
  <si>
    <t>165263</t>
  </si>
  <si>
    <t>10/15/1970</t>
  </si>
  <si>
    <t>234964</t>
  </si>
  <si>
    <t>9/14/1962</t>
  </si>
  <si>
    <t>804299</t>
  </si>
  <si>
    <t>11/4/1957</t>
  </si>
  <si>
    <t>848472</t>
  </si>
  <si>
    <t>10/20/2009</t>
  </si>
  <si>
    <t>175875</t>
  </si>
  <si>
    <t>11/19/1970</t>
  </si>
  <si>
    <t>673020</t>
  </si>
  <si>
    <t>11/30/1979</t>
  </si>
  <si>
    <t>213994</t>
  </si>
  <si>
    <t>4/16/1961</t>
  </si>
  <si>
    <t>851016</t>
  </si>
  <si>
    <t>1/18/2010</t>
  </si>
  <si>
    <t>825555</t>
  </si>
  <si>
    <t>11/10/2019</t>
  </si>
  <si>
    <t>388013</t>
  </si>
  <si>
    <t>7/13/2018</t>
  </si>
  <si>
    <t>285733</t>
  </si>
  <si>
    <t>5/19/2000</t>
  </si>
  <si>
    <t>352431</t>
  </si>
  <si>
    <t>12/2/1970</t>
  </si>
  <si>
    <t>918029</t>
  </si>
  <si>
    <t>11/21/1969</t>
  </si>
  <si>
    <t>682556</t>
  </si>
  <si>
    <t>9/30/1966</t>
  </si>
  <si>
    <t>405774</t>
  </si>
  <si>
    <t>8/11/1993</t>
  </si>
  <si>
    <t>920547</t>
  </si>
  <si>
    <t>12/28/1943</t>
  </si>
  <si>
    <t>973755</t>
  </si>
  <si>
    <t>1/12/1998</t>
  </si>
  <si>
    <t>261886</t>
  </si>
  <si>
    <t>5/23/1974</t>
  </si>
  <si>
    <t>551306</t>
  </si>
  <si>
    <t>2/6/2008</t>
  </si>
  <si>
    <t>326497</t>
  </si>
  <si>
    <t>4/24/2013</t>
  </si>
  <si>
    <t>639158</t>
  </si>
  <si>
    <t>9/29/1989</t>
  </si>
  <si>
    <t>401721</t>
  </si>
  <si>
    <t>12/15/1955</t>
  </si>
  <si>
    <t>251536</t>
  </si>
  <si>
    <t>5/14/1957</t>
  </si>
  <si>
    <t>238622</t>
  </si>
  <si>
    <t>10/27/1995</t>
  </si>
  <si>
    <t>293767</t>
  </si>
  <si>
    <t>1/16/2018</t>
  </si>
  <si>
    <t>206041</t>
  </si>
  <si>
    <t>10/18/2010</t>
  </si>
  <si>
    <t>848661</t>
  </si>
  <si>
    <t>12/2/1957</t>
  </si>
  <si>
    <t>119971</t>
  </si>
  <si>
    <t>5/21/1963</t>
  </si>
  <si>
    <t>593905</t>
  </si>
  <si>
    <t>12/5/1961</t>
  </si>
  <si>
    <t>897163</t>
  </si>
  <si>
    <t>10/5/1986</t>
  </si>
  <si>
    <t>754452</t>
  </si>
  <si>
    <t>11/13/1955</t>
  </si>
  <si>
    <t>111501</t>
  </si>
  <si>
    <t>5/3/1999</t>
  </si>
  <si>
    <t>824746</t>
  </si>
  <si>
    <t>11/29/1984</t>
  </si>
  <si>
    <t>190312</t>
  </si>
  <si>
    <t>1/21/2014</t>
  </si>
  <si>
    <t>713378</t>
  </si>
  <si>
    <t>9/28/1977</t>
  </si>
  <si>
    <t>939786</t>
  </si>
  <si>
    <t>6/16/1997</t>
  </si>
  <si>
    <t>784400</t>
  </si>
  <si>
    <t>12/10/2002</t>
  </si>
  <si>
    <t>271529</t>
  </si>
  <si>
    <t>7/10/2012</t>
  </si>
  <si>
    <t>874417</t>
  </si>
  <si>
    <t>8/12/1985</t>
  </si>
  <si>
    <t>221238</t>
  </si>
  <si>
    <t>12/28/1940</t>
  </si>
  <si>
    <t>785851</t>
  </si>
  <si>
    <t>6/12/1981</t>
  </si>
  <si>
    <t>753388</t>
  </si>
  <si>
    <t>5/16/1952</t>
  </si>
  <si>
    <t>494788</t>
  </si>
  <si>
    <t>5/5/1968</t>
  </si>
  <si>
    <t>959681</t>
  </si>
  <si>
    <t>11/30/1945</t>
  </si>
  <si>
    <t>748491</t>
  </si>
  <si>
    <t>12/7/1957</t>
  </si>
  <si>
    <t>168605</t>
  </si>
  <si>
    <t>9/26/1983</t>
  </si>
  <si>
    <t>112161</t>
  </si>
  <si>
    <t>6/27/1967</t>
  </si>
  <si>
    <t>918911</t>
  </si>
  <si>
    <t>3/5/1954</t>
  </si>
  <si>
    <t>664737</t>
  </si>
  <si>
    <t>7/7/2000</t>
  </si>
  <si>
    <t>531040</t>
  </si>
  <si>
    <t>7/17/1978</t>
  </si>
  <si>
    <t>141629</t>
  </si>
  <si>
    <t>3/9/1957</t>
  </si>
  <si>
    <t>601677</t>
  </si>
  <si>
    <t>1/9/1964</t>
  </si>
  <si>
    <t>761978</t>
  </si>
  <si>
    <t>11/4/1991</t>
  </si>
  <si>
    <t>235138</t>
  </si>
  <si>
    <t>4/23/1967</t>
  </si>
  <si>
    <t>949651</t>
  </si>
  <si>
    <t>9/13/1940</t>
  </si>
  <si>
    <t>689247</t>
  </si>
  <si>
    <t>11/16/1985</t>
  </si>
  <si>
    <t>879093</t>
  </si>
  <si>
    <t>9/21/1968</t>
  </si>
  <si>
    <t>669652</t>
  </si>
  <si>
    <t>381269</t>
  </si>
  <si>
    <t>7/15/1983</t>
  </si>
  <si>
    <t>504043</t>
  </si>
  <si>
    <t>4/1/1986</t>
  </si>
  <si>
    <t>312962</t>
  </si>
  <si>
    <t>943346</t>
  </si>
  <si>
    <t>8/27/1957</t>
  </si>
  <si>
    <t>950849</t>
  </si>
  <si>
    <t>271596</t>
  </si>
  <si>
    <t>9/10/2000</t>
  </si>
  <si>
    <t>410607</t>
  </si>
  <si>
    <t>3/8/1958</t>
  </si>
  <si>
    <t>720946</t>
  </si>
  <si>
    <t>6/7/1984</t>
  </si>
  <si>
    <t>224213</t>
  </si>
  <si>
    <t>1/17/1992</t>
  </si>
  <si>
    <t>335173</t>
  </si>
  <si>
    <t>1/28/1942</t>
  </si>
  <si>
    <t>963473</t>
  </si>
  <si>
    <t>10/1/2014</t>
  </si>
  <si>
    <t>983346</t>
  </si>
  <si>
    <t>8/19/1951</t>
  </si>
  <si>
    <t>129983</t>
  </si>
  <si>
    <t>4/12/2001</t>
  </si>
  <si>
    <t>697830</t>
  </si>
  <si>
    <t>11/14/1948</t>
  </si>
  <si>
    <t>774922</t>
  </si>
  <si>
    <t>8/14/2011</t>
  </si>
  <si>
    <t>694902</t>
  </si>
  <si>
    <t>3/30/2001</t>
  </si>
  <si>
    <t>595254</t>
  </si>
  <si>
    <t>5/6/1942</t>
  </si>
  <si>
    <t>260096</t>
  </si>
  <si>
    <t>1/10/1955</t>
  </si>
  <si>
    <t>512023</t>
  </si>
  <si>
    <t>4/5/1957</t>
  </si>
  <si>
    <t>952333</t>
  </si>
  <si>
    <t>3/5/2000</t>
  </si>
  <si>
    <t>848904</t>
  </si>
  <si>
    <t>1/6/1962</t>
  </si>
  <si>
    <t>279177</t>
  </si>
  <si>
    <t>2/26/1967</t>
  </si>
  <si>
    <t>755822</t>
  </si>
  <si>
    <t>7/4/1942</t>
  </si>
  <si>
    <t>838906</t>
  </si>
  <si>
    <t>6/1/1976</t>
  </si>
  <si>
    <t>701108</t>
  </si>
  <si>
    <t>10/29/1975</t>
  </si>
  <si>
    <t>892338</t>
  </si>
  <si>
    <t>6/3/1961</t>
  </si>
  <si>
    <t>450210</t>
  </si>
  <si>
    <t>8/24/2018</t>
  </si>
  <si>
    <t>140062</t>
  </si>
  <si>
    <t>6/7/2012</t>
  </si>
  <si>
    <t>176117</t>
  </si>
  <si>
    <t>4/19/1966</t>
  </si>
  <si>
    <t>791769</t>
  </si>
  <si>
    <t>11/2/1968</t>
  </si>
  <si>
    <t>145928</t>
  </si>
  <si>
    <t>8/16/1941</t>
  </si>
  <si>
    <t>311054</t>
  </si>
  <si>
    <t>11/21/1956</t>
  </si>
  <si>
    <t>575378</t>
  </si>
  <si>
    <t>4/7/1974</t>
  </si>
  <si>
    <t>390727</t>
  </si>
  <si>
    <t>10/9/1972</t>
  </si>
  <si>
    <t>220298</t>
  </si>
  <si>
    <t>808528</t>
  </si>
  <si>
    <t>829132</t>
  </si>
  <si>
    <t>5/19/1991</t>
  </si>
  <si>
    <t>345518</t>
  </si>
  <si>
    <t>12/22/1994</t>
  </si>
  <si>
    <t>753670</t>
  </si>
  <si>
    <t>12/4/1991</t>
  </si>
  <si>
    <t>931463</t>
  </si>
  <si>
    <t>8/30/1978</t>
  </si>
  <si>
    <t>973596</t>
  </si>
  <si>
    <t>2/22/1971</t>
  </si>
  <si>
    <t>158712</t>
  </si>
  <si>
    <t>11/27/1948</t>
  </si>
  <si>
    <t>829567</t>
  </si>
  <si>
    <t>5/17/2019</t>
  </si>
  <si>
    <t>765708</t>
  </si>
  <si>
    <t>6/27/1982</t>
  </si>
  <si>
    <t>147410</t>
  </si>
  <si>
    <t>10/2/2008</t>
  </si>
  <si>
    <t>268700</t>
  </si>
  <si>
    <t>10/5/2008</t>
  </si>
  <si>
    <t>932627</t>
  </si>
  <si>
    <t>12/1/1953</t>
  </si>
  <si>
    <t>745654</t>
  </si>
  <si>
    <t>11/25/1996</t>
  </si>
  <si>
    <t>858465</t>
  </si>
  <si>
    <t>7/2/1957</t>
  </si>
  <si>
    <t>501352</t>
  </si>
  <si>
    <t>6/29/1971</t>
  </si>
  <si>
    <t>704040</t>
  </si>
  <si>
    <t>8/1/1993</t>
  </si>
  <si>
    <t>926550</t>
  </si>
  <si>
    <t>10/31/1942</t>
  </si>
  <si>
    <t>669150</t>
  </si>
  <si>
    <t>10/27/1963</t>
  </si>
  <si>
    <t>232108</t>
  </si>
  <si>
    <t>1/24/2009</t>
  </si>
  <si>
    <t>271167</t>
  </si>
  <si>
    <t>5/23/1944</t>
  </si>
  <si>
    <t>536823</t>
  </si>
  <si>
    <t>6/17/1985</t>
  </si>
  <si>
    <t>353144</t>
  </si>
  <si>
    <t>12/8/2019</t>
  </si>
  <si>
    <t>511565</t>
  </si>
  <si>
    <t>3/17/1995</t>
  </si>
  <si>
    <t>722586</t>
  </si>
  <si>
    <t>5/15/1942</t>
  </si>
  <si>
    <t>721246</t>
  </si>
  <si>
    <t>6/24/2002</t>
  </si>
  <si>
    <t>878212</t>
  </si>
  <si>
    <t>3/1/1957</t>
  </si>
  <si>
    <t>983979</t>
  </si>
  <si>
    <t>5/4/1954</t>
  </si>
  <si>
    <t>428431</t>
  </si>
  <si>
    <t>4/27/1993</t>
  </si>
  <si>
    <t>306981</t>
  </si>
  <si>
    <t>1/27/1983</t>
  </si>
  <si>
    <t>285333</t>
  </si>
  <si>
    <t>3/22/1948</t>
  </si>
  <si>
    <t>779147</t>
  </si>
  <si>
    <t>7/28/1989</t>
  </si>
  <si>
    <t>163418</t>
  </si>
  <si>
    <t>10/24/2017</t>
  </si>
  <si>
    <t>850734</t>
  </si>
  <si>
    <t>2/20/1968</t>
  </si>
  <si>
    <t>194739</t>
  </si>
  <si>
    <t>3/29/2002</t>
  </si>
  <si>
    <t>587714</t>
  </si>
  <si>
    <t>10/2/1952</t>
  </si>
  <si>
    <t>343327</t>
  </si>
  <si>
    <t>6/12/1949</t>
  </si>
  <si>
    <t>141861</t>
  </si>
  <si>
    <t>6/13/2005</t>
  </si>
  <si>
    <t>270858</t>
  </si>
  <si>
    <t>8/24/2004</t>
  </si>
  <si>
    <t>725107</t>
  </si>
  <si>
    <t>5/7/1991</t>
  </si>
  <si>
    <t>602470</t>
  </si>
  <si>
    <t>7/12/2018</t>
  </si>
  <si>
    <t>983034</t>
  </si>
  <si>
    <t>11/13/1972</t>
  </si>
  <si>
    <t>521080</t>
  </si>
  <si>
    <t>4/26/1999</t>
  </si>
  <si>
    <t>618817</t>
  </si>
  <si>
    <t>12/22/1950</t>
  </si>
  <si>
    <t>203942</t>
  </si>
  <si>
    <t>8/27/2016</t>
  </si>
  <si>
    <t>906500</t>
  </si>
  <si>
    <t>230685</t>
  </si>
  <si>
    <t>2/17/1961</t>
  </si>
  <si>
    <t>679893</t>
  </si>
  <si>
    <t>7/2/1951</t>
  </si>
  <si>
    <t>714000</t>
  </si>
  <si>
    <t>11/8/1999</t>
  </si>
  <si>
    <t>421991</t>
  </si>
  <si>
    <t>9/9/1942</t>
  </si>
  <si>
    <t>548663</t>
  </si>
  <si>
    <t>5/31/1949</t>
  </si>
  <si>
    <t>906366</t>
  </si>
  <si>
    <t>5/15/2015</t>
  </si>
  <si>
    <t>140408</t>
  </si>
  <si>
    <t>3/17/1955</t>
  </si>
  <si>
    <t>759970</t>
  </si>
  <si>
    <t>8/22/1969</t>
  </si>
  <si>
    <t>663205</t>
  </si>
  <si>
    <t>3/30/1981</t>
  </si>
  <si>
    <t>441581</t>
  </si>
  <si>
    <t>7/6/2018</t>
  </si>
  <si>
    <t>968967</t>
  </si>
  <si>
    <t>12/24/1992</t>
  </si>
  <si>
    <t>226854</t>
  </si>
  <si>
    <t>8/3/1988</t>
  </si>
  <si>
    <t>314848</t>
  </si>
  <si>
    <t>11/30/2015</t>
  </si>
  <si>
    <t>471152</t>
  </si>
  <si>
    <t>9/29/1990</t>
  </si>
  <si>
    <t>868193</t>
  </si>
  <si>
    <t>853101</t>
  </si>
  <si>
    <t>4/13/1984</t>
  </si>
  <si>
    <t>649104</t>
  </si>
  <si>
    <t>3/5/1946</t>
  </si>
  <si>
    <t>376499</t>
  </si>
  <si>
    <t>1/27/1969</t>
  </si>
  <si>
    <t>657908</t>
  </si>
  <si>
    <t>8/21/1973</t>
  </si>
  <si>
    <t>855858</t>
  </si>
  <si>
    <t>11/20/1959</t>
  </si>
  <si>
    <t>128635</t>
  </si>
  <si>
    <t>6/16/2012</t>
  </si>
  <si>
    <t>864964</t>
  </si>
  <si>
    <t>1/8/1973</t>
  </si>
  <si>
    <t>704688</t>
  </si>
  <si>
    <t>1/2/2017</t>
  </si>
  <si>
    <t>130835</t>
  </si>
  <si>
    <t>135215</t>
  </si>
  <si>
    <t>2/18/1955</t>
  </si>
  <si>
    <t>537959</t>
  </si>
  <si>
    <t>10/23/2017</t>
  </si>
  <si>
    <t>461508</t>
  </si>
  <si>
    <t>7/12/1996</t>
  </si>
  <si>
    <t>765987</t>
  </si>
  <si>
    <t>6/25/1989</t>
  </si>
  <si>
    <t>607350</t>
  </si>
  <si>
    <t>5/12/1972</t>
  </si>
  <si>
    <t>594256</t>
  </si>
  <si>
    <t>3/6/1989</t>
  </si>
  <si>
    <t>554998</t>
  </si>
  <si>
    <t>305736</t>
  </si>
  <si>
    <t>8/15/1978</t>
  </si>
  <si>
    <t>237507</t>
  </si>
  <si>
    <t>4/6/1944</t>
  </si>
  <si>
    <t>187833</t>
  </si>
  <si>
    <t>4/8/1992</t>
  </si>
  <si>
    <t>694973</t>
  </si>
  <si>
    <t>334199</t>
  </si>
  <si>
    <t>5/11/2003</t>
  </si>
  <si>
    <t>801415</t>
  </si>
  <si>
    <t>7/7/2010</t>
  </si>
  <si>
    <t>560261</t>
  </si>
  <si>
    <t>3/4/1949</t>
  </si>
  <si>
    <t>947772</t>
  </si>
  <si>
    <t>9/14/1964</t>
  </si>
  <si>
    <t>923843</t>
  </si>
  <si>
    <t>480246</t>
  </si>
  <si>
    <t>4/13/1982</t>
  </si>
  <si>
    <t>716900</t>
  </si>
  <si>
    <t>9/30/2003</t>
  </si>
  <si>
    <t>592566</t>
  </si>
  <si>
    <t>5/8/1989</t>
  </si>
  <si>
    <t>119168</t>
  </si>
  <si>
    <t>4/15/2015</t>
  </si>
  <si>
    <t>970548</t>
  </si>
  <si>
    <t>5/9/1996</t>
  </si>
  <si>
    <t>569923</t>
  </si>
  <si>
    <t>12/30/1975</t>
  </si>
  <si>
    <t>354147</t>
  </si>
  <si>
    <t>4/14/2019</t>
  </si>
  <si>
    <t>174699</t>
  </si>
  <si>
    <t>3/13/1989</t>
  </si>
  <si>
    <t>514598</t>
  </si>
  <si>
    <t>10/10/1971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</si>
</sst>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" xfId="0" applyFont="1" applyNumberForma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0.71"/>
    <col customWidth="1" min="3" max="3" width="12.57"/>
    <col customWidth="1" min="4" max="4" width="11.29"/>
    <col customWidth="1" min="5" max="5" width="8.71"/>
    <col customWidth="1" min="6" max="6" width="12.43"/>
    <col customWidth="1" min="7" max="7" width="12.57"/>
    <col customWidth="1" min="9" max="9" width="12.57"/>
    <col customWidth="1" min="10" max="10" width="12.0"/>
    <col customWidth="1" min="11" max="95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7</v>
      </c>
    </row>
    <row r="2" ht="14.25" customHeight="1">
      <c r="A2" s="1" t="s">
        <v>8</v>
      </c>
      <c r="B2" s="3">
        <v>1.0</v>
      </c>
      <c r="C2" s="1" t="s">
        <v>7</v>
      </c>
      <c r="D2" s="1" t="s">
        <v>9</v>
      </c>
      <c r="F2" s="1" t="str">
        <f>IFERROR(__xludf.DUMMYFUNCTION("UNIQUE(A2:A1000)"),"863243")</f>
        <v>863243</v>
      </c>
      <c r="G2" s="1" t="str">
        <f t="shared" ref="G2:G84" si="1">CONCATENATE("01","/",VLOOKUP(F2, A2:D1000, 2, false),"/",2023)</f>
        <v>01/1/2023</v>
      </c>
      <c r="H2" s="1" t="str">
        <f t="shared" ref="H2:H84" si="2">INDEX(D:D, MATCH(1, ($A:$A = $F2) * ($C:$C = H$1), 0))</f>
        <v>12/30/2007</v>
      </c>
      <c r="I2" s="1" t="str">
        <f t="shared" ref="I2:I84" si="3">INDEX(D:D, MATCH(1, ($A:$A = $F2) * ($C:$C = $I$1), 0))</f>
        <v>Platinum</v>
      </c>
      <c r="J2" s="1" t="str">
        <f t="shared" ref="J2:J84" si="4">INDEX(D:D, MATCH(1, ($A:$A = $F2) * ($C:$C = "Ethnicity"), 0))</f>
        <v>Other</v>
      </c>
    </row>
    <row r="3" ht="14.25" customHeight="1">
      <c r="A3" s="1" t="s">
        <v>8</v>
      </c>
      <c r="B3" s="3">
        <v>1.0</v>
      </c>
      <c r="C3" s="1" t="s">
        <v>5</v>
      </c>
      <c r="D3" s="1" t="s">
        <v>10</v>
      </c>
      <c r="F3" s="1" t="str">
        <f>IFERROR(__xludf.DUMMYFUNCTION("""COMPUTED_VALUE"""),"893948")</f>
        <v>893948</v>
      </c>
      <c r="G3" s="1" t="str">
        <f t="shared" si="1"/>
        <v>01/1/2023</v>
      </c>
      <c r="H3" s="1" t="str">
        <f t="shared" si="2"/>
        <v>9/1/2013</v>
      </c>
      <c r="I3" s="1" t="str">
        <f t="shared" si="3"/>
        <v>Gold</v>
      </c>
      <c r="J3" s="1" t="str">
        <f t="shared" si="4"/>
        <v>White</v>
      </c>
    </row>
    <row r="4" ht="14.25" customHeight="1">
      <c r="A4" s="1" t="s">
        <v>8</v>
      </c>
      <c r="B4" s="3">
        <v>1.0</v>
      </c>
      <c r="C4" s="1" t="s">
        <v>6</v>
      </c>
      <c r="D4" s="1" t="s">
        <v>11</v>
      </c>
      <c r="F4" s="1" t="str">
        <f>IFERROR(__xludf.DUMMYFUNCTION("""COMPUTED_VALUE"""),"174968")</f>
        <v>174968</v>
      </c>
      <c r="G4" s="1" t="str">
        <f t="shared" si="1"/>
        <v>01/10/2023</v>
      </c>
      <c r="H4" s="1" t="str">
        <f t="shared" si="2"/>
        <v>9/30/1980</v>
      </c>
      <c r="I4" s="1" t="str">
        <f t="shared" si="3"/>
        <v>Platinum</v>
      </c>
      <c r="J4" s="1" t="str">
        <f t="shared" si="4"/>
        <v>Other</v>
      </c>
    </row>
    <row r="5" ht="14.25" customHeight="1">
      <c r="A5" s="1" t="s">
        <v>12</v>
      </c>
      <c r="B5" s="3">
        <v>1.0</v>
      </c>
      <c r="C5" s="1" t="s">
        <v>7</v>
      </c>
      <c r="D5" s="1" t="s">
        <v>13</v>
      </c>
      <c r="F5" s="1" t="str">
        <f>IFERROR(__xludf.DUMMYFUNCTION("""COMPUTED_VALUE"""),"427577")</f>
        <v>427577</v>
      </c>
      <c r="G5" s="1" t="str">
        <f t="shared" si="1"/>
        <v>01/10/2023</v>
      </c>
      <c r="H5" s="1" t="str">
        <f t="shared" si="2"/>
        <v>1/6/1971</v>
      </c>
      <c r="I5" s="1" t="str">
        <f t="shared" si="3"/>
        <v>Basic</v>
      </c>
      <c r="J5" s="1" t="str">
        <f t="shared" si="4"/>
        <v>Asian</v>
      </c>
    </row>
    <row r="6" ht="14.25" customHeight="1">
      <c r="A6" s="1" t="s">
        <v>12</v>
      </c>
      <c r="B6" s="3">
        <v>1.0</v>
      </c>
      <c r="C6" s="1" t="s">
        <v>5</v>
      </c>
      <c r="D6" s="1" t="s">
        <v>14</v>
      </c>
      <c r="F6" s="1" t="str">
        <f>IFERROR(__xludf.DUMMYFUNCTION("""COMPUTED_VALUE"""),"491519")</f>
        <v>491519</v>
      </c>
      <c r="G6" s="1" t="str">
        <f t="shared" si="1"/>
        <v>01/10/2023</v>
      </c>
      <c r="H6" s="1" t="str">
        <f t="shared" si="2"/>
        <v>4/4/1955</v>
      </c>
      <c r="I6" s="1" t="str">
        <f t="shared" si="3"/>
        <v>Gold</v>
      </c>
      <c r="J6" s="1" t="str">
        <f t="shared" si="4"/>
        <v>Asian</v>
      </c>
    </row>
    <row r="7" ht="14.25" customHeight="1">
      <c r="A7" s="1" t="s">
        <v>12</v>
      </c>
      <c r="B7" s="3">
        <v>1.0</v>
      </c>
      <c r="C7" s="1" t="s">
        <v>6</v>
      </c>
      <c r="D7" s="1" t="s">
        <v>15</v>
      </c>
      <c r="F7" s="1" t="str">
        <f>IFERROR(__xludf.DUMMYFUNCTION("""COMPUTED_VALUE"""),"716354")</f>
        <v>716354</v>
      </c>
      <c r="G7" s="1" t="str">
        <f t="shared" si="1"/>
        <v>01/10/2023</v>
      </c>
      <c r="H7" s="1" t="str">
        <f t="shared" si="2"/>
        <v>12/18/1997</v>
      </c>
      <c r="I7" s="1" t="str">
        <f t="shared" si="3"/>
        <v>Gold</v>
      </c>
      <c r="J7" s="1" t="str">
        <f t="shared" si="4"/>
        <v>Black</v>
      </c>
    </row>
    <row r="8" ht="14.25" customHeight="1">
      <c r="A8" s="1" t="s">
        <v>16</v>
      </c>
      <c r="B8" s="3">
        <v>10.0</v>
      </c>
      <c r="C8" s="1" t="s">
        <v>7</v>
      </c>
      <c r="D8" s="1" t="s">
        <v>9</v>
      </c>
      <c r="F8" s="1" t="str">
        <f>IFERROR(__xludf.DUMMYFUNCTION("""COMPUTED_VALUE"""),"994611")</f>
        <v>994611</v>
      </c>
      <c r="G8" s="1" t="str">
        <f t="shared" si="1"/>
        <v>01/10/2023</v>
      </c>
      <c r="H8" s="1" t="str">
        <f t="shared" si="2"/>
        <v>6/19/1994</v>
      </c>
      <c r="I8" s="1" t="str">
        <f t="shared" si="3"/>
        <v>Basic</v>
      </c>
      <c r="J8" s="1" t="str">
        <f t="shared" si="4"/>
        <v>Black</v>
      </c>
    </row>
    <row r="9" ht="14.25" customHeight="1">
      <c r="A9" s="1" t="s">
        <v>16</v>
      </c>
      <c r="B9" s="3">
        <v>10.0</v>
      </c>
      <c r="C9" s="1" t="s">
        <v>5</v>
      </c>
      <c r="D9" s="1" t="s">
        <v>17</v>
      </c>
      <c r="F9" s="1" t="str">
        <f>IFERROR(__xludf.DUMMYFUNCTION("""COMPUTED_VALUE"""),"177159")</f>
        <v>177159</v>
      </c>
      <c r="G9" s="1" t="str">
        <f t="shared" si="1"/>
        <v>01/11/2023</v>
      </c>
      <c r="H9" s="1" t="str">
        <f t="shared" si="2"/>
        <v>11/10/1953</v>
      </c>
      <c r="I9" s="1" t="str">
        <f t="shared" si="3"/>
        <v>Basic</v>
      </c>
      <c r="J9" s="1" t="str">
        <f t="shared" si="4"/>
        <v>White</v>
      </c>
    </row>
    <row r="10" ht="14.25" customHeight="1">
      <c r="A10" s="1" t="s">
        <v>16</v>
      </c>
      <c r="B10" s="3">
        <v>10.0</v>
      </c>
      <c r="C10" s="1" t="s">
        <v>6</v>
      </c>
      <c r="D10" s="1" t="s">
        <v>11</v>
      </c>
      <c r="F10" s="1" t="str">
        <f>IFERROR(__xludf.DUMMYFUNCTION("""COMPUTED_VALUE"""),"547679")</f>
        <v>547679</v>
      </c>
      <c r="G10" s="1" t="str">
        <f t="shared" si="1"/>
        <v>01/11/2023</v>
      </c>
      <c r="H10" s="1" t="str">
        <f t="shared" si="2"/>
        <v>2/7/1949</v>
      </c>
      <c r="I10" s="1" t="str">
        <f t="shared" si="3"/>
        <v>Basic</v>
      </c>
      <c r="J10" s="1" t="str">
        <f t="shared" si="4"/>
        <v>White</v>
      </c>
    </row>
    <row r="11" ht="14.25" customHeight="1">
      <c r="A11" s="1" t="s">
        <v>18</v>
      </c>
      <c r="B11" s="3">
        <v>10.0</v>
      </c>
      <c r="C11" s="1" t="s">
        <v>7</v>
      </c>
      <c r="D11" s="1" t="s">
        <v>19</v>
      </c>
      <c r="F11" s="1" t="str">
        <f>IFERROR(__xludf.DUMMYFUNCTION("""COMPUTED_VALUE"""),"806735")</f>
        <v>806735</v>
      </c>
      <c r="G11" s="1" t="str">
        <f t="shared" si="1"/>
        <v>01/11/2023</v>
      </c>
      <c r="H11" s="1" t="str">
        <f t="shared" si="2"/>
        <v>4/15/1945</v>
      </c>
      <c r="I11" s="1" t="str">
        <f t="shared" si="3"/>
        <v>Platinum</v>
      </c>
      <c r="J11" s="1" t="str">
        <f t="shared" si="4"/>
        <v>Asian</v>
      </c>
    </row>
    <row r="12" ht="14.25" customHeight="1">
      <c r="A12" s="1" t="s">
        <v>18</v>
      </c>
      <c r="B12" s="3">
        <v>10.0</v>
      </c>
      <c r="C12" s="1" t="s">
        <v>5</v>
      </c>
      <c r="D12" s="1" t="s">
        <v>20</v>
      </c>
      <c r="F12" s="1" t="str">
        <f>IFERROR(__xludf.DUMMYFUNCTION("""COMPUTED_VALUE"""),"888481")</f>
        <v>888481</v>
      </c>
      <c r="G12" s="1" t="str">
        <f t="shared" si="1"/>
        <v>01/11/2023</v>
      </c>
      <c r="H12" s="1" t="str">
        <f t="shared" si="2"/>
        <v>10/14/2017</v>
      </c>
      <c r="I12" s="1" t="str">
        <f t="shared" si="3"/>
        <v>Basic</v>
      </c>
      <c r="J12" s="1" t="str">
        <f t="shared" si="4"/>
        <v>Other</v>
      </c>
    </row>
    <row r="13" ht="14.25" customHeight="1">
      <c r="A13" s="1" t="s">
        <v>18</v>
      </c>
      <c r="B13" s="3">
        <v>10.0</v>
      </c>
      <c r="C13" s="1" t="s">
        <v>6</v>
      </c>
      <c r="D13" s="1" t="s">
        <v>21</v>
      </c>
      <c r="F13" s="1" t="str">
        <f>IFERROR(__xludf.DUMMYFUNCTION("""COMPUTED_VALUE"""),"155713")</f>
        <v>155713</v>
      </c>
      <c r="G13" s="1" t="str">
        <f t="shared" si="1"/>
        <v>01/12/2023</v>
      </c>
      <c r="H13" s="1" t="str">
        <f t="shared" si="2"/>
        <v>7/3/2009</v>
      </c>
      <c r="I13" s="1" t="str">
        <f t="shared" si="3"/>
        <v>Platinum</v>
      </c>
      <c r="J13" s="1" t="str">
        <f t="shared" si="4"/>
        <v>White</v>
      </c>
    </row>
    <row r="14" ht="14.25" customHeight="1">
      <c r="A14" s="1" t="s">
        <v>22</v>
      </c>
      <c r="B14" s="3">
        <v>10.0</v>
      </c>
      <c r="C14" s="1" t="s">
        <v>7</v>
      </c>
      <c r="D14" s="1" t="s">
        <v>19</v>
      </c>
      <c r="F14" s="1" t="str">
        <f>IFERROR(__xludf.DUMMYFUNCTION("""COMPUTED_VALUE"""),"673358")</f>
        <v>673358</v>
      </c>
      <c r="G14" s="1" t="str">
        <f t="shared" si="1"/>
        <v>01/12/2023</v>
      </c>
      <c r="H14" s="1" t="str">
        <f t="shared" si="2"/>
        <v>1/14/2014</v>
      </c>
      <c r="I14" s="1" t="str">
        <f t="shared" si="3"/>
        <v>Platinum</v>
      </c>
      <c r="J14" s="1" t="str">
        <f t="shared" si="4"/>
        <v>Other</v>
      </c>
    </row>
    <row r="15" ht="14.25" customHeight="1">
      <c r="A15" s="1" t="s">
        <v>22</v>
      </c>
      <c r="B15" s="3">
        <v>10.0</v>
      </c>
      <c r="C15" s="1" t="s">
        <v>5</v>
      </c>
      <c r="D15" s="1" t="s">
        <v>23</v>
      </c>
      <c r="F15" s="1" t="str">
        <f>IFERROR(__xludf.DUMMYFUNCTION("""COMPUTED_VALUE"""),"755120")</f>
        <v>755120</v>
      </c>
      <c r="G15" s="1" t="str">
        <f t="shared" si="1"/>
        <v>01/12/2023</v>
      </c>
      <c r="H15" s="1" t="str">
        <f t="shared" si="2"/>
        <v>7/6/1984</v>
      </c>
      <c r="I15" s="1" t="str">
        <f t="shared" si="3"/>
        <v>Platinum</v>
      </c>
      <c r="J15" s="1" t="str">
        <f t="shared" si="4"/>
        <v>Other</v>
      </c>
    </row>
    <row r="16" ht="14.25" customHeight="1">
      <c r="A16" s="1" t="s">
        <v>22</v>
      </c>
      <c r="B16" s="3">
        <v>10.0</v>
      </c>
      <c r="C16" s="1" t="s">
        <v>6</v>
      </c>
      <c r="D16" s="1" t="s">
        <v>15</v>
      </c>
      <c r="F16" s="1" t="str">
        <f>IFERROR(__xludf.DUMMYFUNCTION("""COMPUTED_VALUE"""),"580145")</f>
        <v>580145</v>
      </c>
      <c r="G16" s="1" t="str">
        <f t="shared" si="1"/>
        <v>01/13/2023</v>
      </c>
      <c r="H16" s="1" t="str">
        <f t="shared" si="2"/>
        <v>11/14/2015</v>
      </c>
      <c r="I16" s="1" t="str">
        <f t="shared" si="3"/>
        <v>Basic</v>
      </c>
      <c r="J16" s="1" t="str">
        <f t="shared" si="4"/>
        <v>Asian</v>
      </c>
    </row>
    <row r="17" ht="14.25" customHeight="1">
      <c r="A17" s="1" t="s">
        <v>24</v>
      </c>
      <c r="B17" s="3">
        <v>10.0</v>
      </c>
      <c r="C17" s="1" t="s">
        <v>7</v>
      </c>
      <c r="D17" s="1" t="s">
        <v>25</v>
      </c>
      <c r="F17" s="1" t="str">
        <f>IFERROR(__xludf.DUMMYFUNCTION("""COMPUTED_VALUE"""),"674869")</f>
        <v>674869</v>
      </c>
      <c r="G17" s="1" t="str">
        <f t="shared" si="1"/>
        <v>01/13/2023</v>
      </c>
      <c r="H17" s="1" t="str">
        <f t="shared" si="2"/>
        <v>6/6/1991</v>
      </c>
      <c r="I17" s="1" t="str">
        <f t="shared" si="3"/>
        <v>Platinum</v>
      </c>
      <c r="J17" s="1" t="str">
        <f t="shared" si="4"/>
        <v>Asian</v>
      </c>
    </row>
    <row r="18" ht="14.25" customHeight="1">
      <c r="A18" s="1" t="s">
        <v>24</v>
      </c>
      <c r="B18" s="3">
        <v>10.0</v>
      </c>
      <c r="C18" s="1" t="s">
        <v>5</v>
      </c>
      <c r="D18" s="1" t="s">
        <v>26</v>
      </c>
      <c r="F18" s="1" t="str">
        <f>IFERROR(__xludf.DUMMYFUNCTION("""COMPUTED_VALUE"""),"683051")</f>
        <v>683051</v>
      </c>
      <c r="G18" s="1" t="str">
        <f t="shared" si="1"/>
        <v>01/13/2023</v>
      </c>
      <c r="H18" s="1" t="str">
        <f t="shared" si="2"/>
        <v>7/8/1957</v>
      </c>
      <c r="I18" s="1" t="str">
        <f t="shared" si="3"/>
        <v>Basic</v>
      </c>
      <c r="J18" s="1" t="str">
        <f t="shared" si="4"/>
        <v>Black</v>
      </c>
    </row>
    <row r="19" ht="14.25" customHeight="1">
      <c r="A19" s="1" t="s">
        <v>24</v>
      </c>
      <c r="B19" s="3">
        <v>10.0</v>
      </c>
      <c r="C19" s="1" t="s">
        <v>6</v>
      </c>
      <c r="D19" s="1" t="s">
        <v>15</v>
      </c>
      <c r="F19" s="1" t="str">
        <f>IFERROR(__xludf.DUMMYFUNCTION("""COMPUTED_VALUE"""),"731003")</f>
        <v>731003</v>
      </c>
      <c r="G19" s="1" t="str">
        <f t="shared" si="1"/>
        <v>01/13/2023</v>
      </c>
      <c r="H19" s="1" t="str">
        <f t="shared" si="2"/>
        <v>9/16/1941</v>
      </c>
      <c r="I19" s="1" t="str">
        <f t="shared" si="3"/>
        <v>Platinum</v>
      </c>
      <c r="J19" s="1" t="str">
        <f t="shared" si="4"/>
        <v>White</v>
      </c>
    </row>
    <row r="20" ht="14.25" customHeight="1">
      <c r="A20" s="1" t="s">
        <v>27</v>
      </c>
      <c r="B20" s="3">
        <v>10.0</v>
      </c>
      <c r="C20" s="1" t="s">
        <v>7</v>
      </c>
      <c r="D20" s="1" t="s">
        <v>25</v>
      </c>
      <c r="F20" s="1" t="str">
        <f>IFERROR(__xludf.DUMMYFUNCTION("""COMPUTED_VALUE"""),"176024")</f>
        <v>176024</v>
      </c>
      <c r="G20" s="1" t="str">
        <f t="shared" si="1"/>
        <v>01/14/2023</v>
      </c>
      <c r="H20" s="1" t="str">
        <f t="shared" si="2"/>
        <v>12/26/1999</v>
      </c>
      <c r="I20" s="1" t="str">
        <f t="shared" si="3"/>
        <v>Gold</v>
      </c>
      <c r="J20" s="1" t="str">
        <f t="shared" si="4"/>
        <v>Other</v>
      </c>
    </row>
    <row r="21" ht="14.25" customHeight="1">
      <c r="A21" s="1" t="s">
        <v>27</v>
      </c>
      <c r="B21" s="3">
        <v>10.0</v>
      </c>
      <c r="C21" s="1" t="s">
        <v>5</v>
      </c>
      <c r="D21" s="1" t="s">
        <v>28</v>
      </c>
      <c r="F21" s="1" t="str">
        <f>IFERROR(__xludf.DUMMYFUNCTION("""COMPUTED_VALUE"""),"201696")</f>
        <v>201696</v>
      </c>
      <c r="G21" s="1" t="str">
        <f t="shared" si="1"/>
        <v>01/14/2023</v>
      </c>
      <c r="H21" s="1" t="str">
        <f t="shared" si="2"/>
        <v>2/5/1996</v>
      </c>
      <c r="I21" s="1" t="str">
        <f t="shared" si="3"/>
        <v>Gold</v>
      </c>
      <c r="J21" s="1" t="str">
        <f t="shared" si="4"/>
        <v>Asian</v>
      </c>
    </row>
    <row r="22" ht="14.25" customHeight="1">
      <c r="A22" s="1" t="s">
        <v>27</v>
      </c>
      <c r="B22" s="3">
        <v>10.0</v>
      </c>
      <c r="C22" s="1" t="s">
        <v>6</v>
      </c>
      <c r="D22" s="1" t="s">
        <v>21</v>
      </c>
      <c r="F22" s="1" t="str">
        <f>IFERROR(__xludf.DUMMYFUNCTION("""COMPUTED_VALUE"""),"276875")</f>
        <v>276875</v>
      </c>
      <c r="G22" s="1" t="str">
        <f t="shared" si="1"/>
        <v>01/14/2023</v>
      </c>
      <c r="H22" s="1" t="str">
        <f t="shared" si="2"/>
        <v>8/27/1989</v>
      </c>
      <c r="I22" s="1" t="str">
        <f t="shared" si="3"/>
        <v>Gold</v>
      </c>
      <c r="J22" s="1" t="str">
        <f t="shared" si="4"/>
        <v>Black</v>
      </c>
    </row>
    <row r="23" ht="14.25" customHeight="1">
      <c r="A23" s="1" t="s">
        <v>29</v>
      </c>
      <c r="B23" s="3">
        <v>11.0</v>
      </c>
      <c r="C23" s="1" t="s">
        <v>7</v>
      </c>
      <c r="D23" s="1" t="s">
        <v>13</v>
      </c>
      <c r="F23" s="1" t="str">
        <f>IFERROR(__xludf.DUMMYFUNCTION("""COMPUTED_VALUE"""),"306487")</f>
        <v>306487</v>
      </c>
      <c r="G23" s="1" t="str">
        <f t="shared" si="1"/>
        <v>01/14/2023</v>
      </c>
      <c r="H23" s="1" t="str">
        <f t="shared" si="2"/>
        <v>6/26/1970</v>
      </c>
      <c r="I23" s="1" t="str">
        <f t="shared" si="3"/>
        <v>Basic</v>
      </c>
      <c r="J23" s="1" t="str">
        <f t="shared" si="4"/>
        <v>Black</v>
      </c>
    </row>
    <row r="24" ht="14.25" customHeight="1">
      <c r="A24" s="1" t="s">
        <v>29</v>
      </c>
      <c r="B24" s="3">
        <v>11.0</v>
      </c>
      <c r="C24" s="1" t="s">
        <v>5</v>
      </c>
      <c r="D24" s="1" t="s">
        <v>30</v>
      </c>
      <c r="F24" s="1" t="str">
        <f>IFERROR(__xludf.DUMMYFUNCTION("""COMPUTED_VALUE"""),"483606")</f>
        <v>483606</v>
      </c>
      <c r="G24" s="1" t="str">
        <f t="shared" si="1"/>
        <v>01/14/2023</v>
      </c>
      <c r="H24" s="1" t="str">
        <f t="shared" si="2"/>
        <v>7/3/1941</v>
      </c>
      <c r="I24" s="1" t="str">
        <f t="shared" si="3"/>
        <v>Platinum</v>
      </c>
      <c r="J24" s="1" t="str">
        <f t="shared" si="4"/>
        <v>Other</v>
      </c>
    </row>
    <row r="25" ht="14.25" customHeight="1">
      <c r="A25" s="1" t="s">
        <v>29</v>
      </c>
      <c r="B25" s="3">
        <v>11.0</v>
      </c>
      <c r="C25" s="1" t="s">
        <v>6</v>
      </c>
      <c r="D25" s="1" t="s">
        <v>21</v>
      </c>
      <c r="F25" s="1" t="str">
        <f>IFERROR(__xludf.DUMMYFUNCTION("""COMPUTED_VALUE"""),"119237")</f>
        <v>119237</v>
      </c>
      <c r="G25" s="1" t="str">
        <f t="shared" si="1"/>
        <v>01/15/2023</v>
      </c>
      <c r="H25" s="1" t="str">
        <f t="shared" si="2"/>
        <v>9/18/2012</v>
      </c>
      <c r="I25" s="1" t="str">
        <f t="shared" si="3"/>
        <v>Platinum</v>
      </c>
      <c r="J25" s="1" t="str">
        <f t="shared" si="4"/>
        <v>Other</v>
      </c>
    </row>
    <row r="26" ht="14.25" customHeight="1">
      <c r="A26" s="1" t="s">
        <v>31</v>
      </c>
      <c r="B26" s="3">
        <v>11.0</v>
      </c>
      <c r="C26" s="1" t="s">
        <v>7</v>
      </c>
      <c r="D26" s="1" t="s">
        <v>13</v>
      </c>
      <c r="F26" s="1" t="str">
        <f>IFERROR(__xludf.DUMMYFUNCTION("""COMPUTED_VALUE"""),"568991")</f>
        <v>568991</v>
      </c>
      <c r="G26" s="1" t="str">
        <f t="shared" si="1"/>
        <v>01/16/2023</v>
      </c>
      <c r="H26" s="1" t="str">
        <f t="shared" si="2"/>
        <v>4/27/1979</v>
      </c>
      <c r="I26" s="1" t="str">
        <f t="shared" si="3"/>
        <v>Gold</v>
      </c>
      <c r="J26" s="1" t="str">
        <f t="shared" si="4"/>
        <v>White</v>
      </c>
    </row>
    <row r="27" ht="14.25" customHeight="1">
      <c r="A27" s="1" t="s">
        <v>31</v>
      </c>
      <c r="B27" s="3">
        <v>11.0</v>
      </c>
      <c r="C27" s="1" t="s">
        <v>5</v>
      </c>
      <c r="D27" s="1" t="s">
        <v>32</v>
      </c>
      <c r="F27" s="1" t="str">
        <f>IFERROR(__xludf.DUMMYFUNCTION("""COMPUTED_VALUE"""),"933040")</f>
        <v>933040</v>
      </c>
      <c r="G27" s="1" t="str">
        <f t="shared" si="1"/>
        <v>01/16/2023</v>
      </c>
      <c r="H27" s="1" t="str">
        <f t="shared" si="2"/>
        <v>12/12/1991</v>
      </c>
      <c r="I27" s="1" t="str">
        <f t="shared" si="3"/>
        <v>Gold</v>
      </c>
      <c r="J27" s="1" t="str">
        <f t="shared" si="4"/>
        <v>Asian</v>
      </c>
    </row>
    <row r="28" ht="14.25" customHeight="1">
      <c r="A28" s="1" t="s">
        <v>31</v>
      </c>
      <c r="B28" s="3">
        <v>11.0</v>
      </c>
      <c r="C28" s="1" t="s">
        <v>6</v>
      </c>
      <c r="D28" s="1" t="s">
        <v>21</v>
      </c>
      <c r="F28" s="1" t="str">
        <f>IFERROR(__xludf.DUMMYFUNCTION("""COMPUTED_VALUE"""),"596558")</f>
        <v>596558</v>
      </c>
      <c r="G28" s="1" t="str">
        <f t="shared" si="1"/>
        <v>01/17/2023</v>
      </c>
      <c r="H28" s="1" t="str">
        <f t="shared" si="2"/>
        <v>3/22/1951</v>
      </c>
      <c r="I28" s="1" t="str">
        <f t="shared" si="3"/>
        <v>Gold</v>
      </c>
      <c r="J28" s="1" t="str">
        <f t="shared" si="4"/>
        <v>Black</v>
      </c>
    </row>
    <row r="29" ht="14.25" customHeight="1">
      <c r="A29" s="1" t="s">
        <v>33</v>
      </c>
      <c r="B29" s="3">
        <v>11.0</v>
      </c>
      <c r="C29" s="1" t="s">
        <v>7</v>
      </c>
      <c r="D29" s="1" t="s">
        <v>19</v>
      </c>
      <c r="F29" s="1" t="str">
        <f>IFERROR(__xludf.DUMMYFUNCTION("""COMPUTED_VALUE"""),"596604")</f>
        <v>596604</v>
      </c>
      <c r="G29" s="1" t="str">
        <f t="shared" si="1"/>
        <v>01/17/2023</v>
      </c>
      <c r="H29" s="1" t="str">
        <f t="shared" si="2"/>
        <v>4/29/2000</v>
      </c>
      <c r="I29" s="1" t="str">
        <f t="shared" si="3"/>
        <v>Gold</v>
      </c>
      <c r="J29" s="1" t="str">
        <f t="shared" si="4"/>
        <v>Asian</v>
      </c>
    </row>
    <row r="30" ht="14.25" customHeight="1">
      <c r="A30" s="1" t="s">
        <v>33</v>
      </c>
      <c r="B30" s="3">
        <v>11.0</v>
      </c>
      <c r="C30" s="1" t="s">
        <v>5</v>
      </c>
      <c r="D30" s="1" t="s">
        <v>34</v>
      </c>
      <c r="F30" s="1" t="str">
        <f>IFERROR(__xludf.DUMMYFUNCTION("""COMPUTED_VALUE"""),"888532")</f>
        <v>888532</v>
      </c>
      <c r="G30" s="1" t="str">
        <f t="shared" si="1"/>
        <v>01/17/2023</v>
      </c>
      <c r="H30" s="1" t="str">
        <f t="shared" si="2"/>
        <v>1/11/2013</v>
      </c>
      <c r="I30" s="1" t="str">
        <f t="shared" si="3"/>
        <v>Gold</v>
      </c>
      <c r="J30" s="1" t="str">
        <f t="shared" si="4"/>
        <v>White</v>
      </c>
    </row>
    <row r="31" ht="14.25" customHeight="1">
      <c r="A31" s="1" t="s">
        <v>33</v>
      </c>
      <c r="B31" s="3">
        <v>11.0</v>
      </c>
      <c r="C31" s="1" t="s">
        <v>6</v>
      </c>
      <c r="D31" s="1" t="s">
        <v>11</v>
      </c>
      <c r="F31" s="1" t="str">
        <f>IFERROR(__xludf.DUMMYFUNCTION("""COMPUTED_VALUE"""),"369221")</f>
        <v>369221</v>
      </c>
      <c r="G31" s="1" t="str">
        <f t="shared" si="1"/>
        <v>01/18/2023</v>
      </c>
      <c r="H31" s="1" t="str">
        <f t="shared" si="2"/>
        <v>3/4/2019</v>
      </c>
      <c r="I31" s="1" t="str">
        <f t="shared" si="3"/>
        <v>Platinum</v>
      </c>
      <c r="J31" s="1" t="str">
        <f t="shared" si="4"/>
        <v>Black</v>
      </c>
    </row>
    <row r="32" ht="14.25" customHeight="1">
      <c r="A32" s="1" t="s">
        <v>35</v>
      </c>
      <c r="B32" s="3">
        <v>11.0</v>
      </c>
      <c r="C32" s="1" t="s">
        <v>7</v>
      </c>
      <c r="D32" s="1" t="s">
        <v>9</v>
      </c>
      <c r="F32" s="1" t="str">
        <f>IFERROR(__xludf.DUMMYFUNCTION("""COMPUTED_VALUE"""),"611859")</f>
        <v>611859</v>
      </c>
      <c r="G32" s="1" t="str">
        <f t="shared" si="1"/>
        <v>01/18/2023</v>
      </c>
      <c r="H32" s="1" t="str">
        <f t="shared" si="2"/>
        <v>12/2/1977</v>
      </c>
      <c r="I32" s="1" t="str">
        <f t="shared" si="3"/>
        <v>Platinum</v>
      </c>
      <c r="J32" s="1" t="str">
        <f t="shared" si="4"/>
        <v>Other</v>
      </c>
    </row>
    <row r="33" ht="14.25" customHeight="1">
      <c r="A33" s="1" t="s">
        <v>35</v>
      </c>
      <c r="B33" s="3">
        <v>11.0</v>
      </c>
      <c r="C33" s="1" t="s">
        <v>5</v>
      </c>
      <c r="D33" s="1" t="s">
        <v>36</v>
      </c>
      <c r="F33" s="1" t="str">
        <f>IFERROR(__xludf.DUMMYFUNCTION("""COMPUTED_VALUE"""),"139746")</f>
        <v>139746</v>
      </c>
      <c r="G33" s="1" t="str">
        <f t="shared" si="1"/>
        <v>01/19/2023</v>
      </c>
      <c r="H33" s="1" t="str">
        <f t="shared" si="2"/>
        <v>2/27/1948</v>
      </c>
      <c r="I33" s="1" t="str">
        <f t="shared" si="3"/>
        <v>Gold</v>
      </c>
      <c r="J33" s="1" t="str">
        <f t="shared" si="4"/>
        <v>Black</v>
      </c>
    </row>
    <row r="34" ht="14.25" customHeight="1">
      <c r="A34" s="1" t="s">
        <v>35</v>
      </c>
      <c r="B34" s="3">
        <v>11.0</v>
      </c>
      <c r="C34" s="1" t="s">
        <v>6</v>
      </c>
      <c r="D34" s="1" t="s">
        <v>21</v>
      </c>
      <c r="F34" s="1" t="str">
        <f>IFERROR(__xludf.DUMMYFUNCTION("""COMPUTED_VALUE"""),"472457")</f>
        <v>472457</v>
      </c>
      <c r="G34" s="1" t="str">
        <f t="shared" si="1"/>
        <v>01/19/2023</v>
      </c>
      <c r="H34" s="1" t="str">
        <f t="shared" si="2"/>
        <v>1/30/1991</v>
      </c>
      <c r="I34" s="1" t="str">
        <f t="shared" si="3"/>
        <v>Gold</v>
      </c>
      <c r="J34" s="1" t="str">
        <f t="shared" si="4"/>
        <v>Black</v>
      </c>
    </row>
    <row r="35" ht="14.25" customHeight="1">
      <c r="A35" s="1" t="s">
        <v>37</v>
      </c>
      <c r="B35" s="3">
        <v>12.0</v>
      </c>
      <c r="C35" s="1" t="s">
        <v>7</v>
      </c>
      <c r="D35" s="1" t="s">
        <v>13</v>
      </c>
      <c r="F35" s="1" t="str">
        <f>IFERROR(__xludf.DUMMYFUNCTION("""COMPUTED_VALUE"""),"673141")</f>
        <v>673141</v>
      </c>
      <c r="G35" s="1" t="str">
        <f t="shared" si="1"/>
        <v>01/19/2023</v>
      </c>
      <c r="H35" s="1" t="str">
        <f t="shared" si="2"/>
        <v>12/30/1955</v>
      </c>
      <c r="I35" s="1" t="str">
        <f t="shared" si="3"/>
        <v>Gold</v>
      </c>
      <c r="J35" s="1" t="str">
        <f t="shared" si="4"/>
        <v>White</v>
      </c>
    </row>
    <row r="36" ht="14.25" customHeight="1">
      <c r="A36" s="1" t="s">
        <v>37</v>
      </c>
      <c r="B36" s="3">
        <v>12.0</v>
      </c>
      <c r="C36" s="1" t="s">
        <v>5</v>
      </c>
      <c r="D36" s="1" t="s">
        <v>38</v>
      </c>
      <c r="F36" s="1" t="str">
        <f>IFERROR(__xludf.DUMMYFUNCTION("""COMPUTED_VALUE"""),"742071")</f>
        <v>742071</v>
      </c>
      <c r="G36" s="1" t="str">
        <f t="shared" si="1"/>
        <v>01/19/2023</v>
      </c>
      <c r="H36" s="1" t="str">
        <f t="shared" si="2"/>
        <v>9/22/1968</v>
      </c>
      <c r="I36" s="1" t="str">
        <f t="shared" si="3"/>
        <v>Platinum</v>
      </c>
      <c r="J36" s="1" t="str">
        <f t="shared" si="4"/>
        <v>White</v>
      </c>
    </row>
    <row r="37" ht="14.25" customHeight="1">
      <c r="A37" s="1" t="s">
        <v>37</v>
      </c>
      <c r="B37" s="3">
        <v>12.0</v>
      </c>
      <c r="C37" s="1" t="s">
        <v>6</v>
      </c>
      <c r="D37" s="1" t="s">
        <v>11</v>
      </c>
      <c r="F37" s="1" t="str">
        <f>IFERROR(__xludf.DUMMYFUNCTION("""COMPUTED_VALUE"""),"471554")</f>
        <v>471554</v>
      </c>
      <c r="G37" s="1" t="str">
        <f t="shared" si="1"/>
        <v>01/2/2023</v>
      </c>
      <c r="H37" s="1" t="str">
        <f t="shared" si="2"/>
        <v>4/22/1990</v>
      </c>
      <c r="I37" s="1" t="str">
        <f t="shared" si="3"/>
        <v>Basic</v>
      </c>
      <c r="J37" s="1" t="str">
        <f t="shared" si="4"/>
        <v>White</v>
      </c>
    </row>
    <row r="38" ht="14.25" customHeight="1">
      <c r="A38" s="1" t="s">
        <v>39</v>
      </c>
      <c r="B38" s="3">
        <v>12.0</v>
      </c>
      <c r="C38" s="1" t="s">
        <v>7</v>
      </c>
      <c r="D38" s="1" t="s">
        <v>9</v>
      </c>
      <c r="F38" s="1" t="str">
        <f>IFERROR(__xludf.DUMMYFUNCTION("""COMPUTED_VALUE"""),"527712")</f>
        <v>527712</v>
      </c>
      <c r="G38" s="1" t="str">
        <f t="shared" si="1"/>
        <v>01/2/2023</v>
      </c>
      <c r="H38" s="1" t="str">
        <f t="shared" si="2"/>
        <v>9/27/1996</v>
      </c>
      <c r="I38" s="1" t="str">
        <f t="shared" si="3"/>
        <v>Platinum</v>
      </c>
      <c r="J38" s="1" t="str">
        <f t="shared" si="4"/>
        <v>White</v>
      </c>
    </row>
    <row r="39" ht="14.25" customHeight="1">
      <c r="A39" s="1" t="s">
        <v>39</v>
      </c>
      <c r="B39" s="3">
        <v>12.0</v>
      </c>
      <c r="C39" s="1" t="s">
        <v>5</v>
      </c>
      <c r="D39" s="1" t="s">
        <v>40</v>
      </c>
      <c r="F39" s="1" t="str">
        <f>IFERROR(__xludf.DUMMYFUNCTION("""COMPUTED_VALUE"""),"761244")</f>
        <v>761244</v>
      </c>
      <c r="G39" s="1" t="str">
        <f t="shared" si="1"/>
        <v>01/2/2023</v>
      </c>
      <c r="H39" s="1" t="str">
        <f t="shared" si="2"/>
        <v>12/26/1942</v>
      </c>
      <c r="I39" s="1" t="str">
        <f t="shared" si="3"/>
        <v>Platinum</v>
      </c>
      <c r="J39" s="1" t="str">
        <f t="shared" si="4"/>
        <v>White</v>
      </c>
    </row>
    <row r="40" ht="14.25" customHeight="1">
      <c r="A40" s="1" t="s">
        <v>39</v>
      </c>
      <c r="B40" s="3">
        <v>12.0</v>
      </c>
      <c r="C40" s="1" t="s">
        <v>6</v>
      </c>
      <c r="D40" s="1" t="s">
        <v>11</v>
      </c>
      <c r="F40" s="1" t="str">
        <f>IFERROR(__xludf.DUMMYFUNCTION("""COMPUTED_VALUE"""),"845293")</f>
        <v>845293</v>
      </c>
      <c r="G40" s="1" t="str">
        <f t="shared" si="1"/>
        <v>01/2/2023</v>
      </c>
      <c r="H40" s="1" t="str">
        <f t="shared" si="2"/>
        <v>5/28/1946</v>
      </c>
      <c r="I40" s="1" t="str">
        <f t="shared" si="3"/>
        <v>Platinum</v>
      </c>
      <c r="J40" s="1" t="str">
        <f t="shared" si="4"/>
        <v>Black</v>
      </c>
    </row>
    <row r="41" ht="14.25" customHeight="1">
      <c r="A41" s="1" t="s">
        <v>41</v>
      </c>
      <c r="B41" s="3">
        <v>12.0</v>
      </c>
      <c r="C41" s="1" t="s">
        <v>7</v>
      </c>
      <c r="D41" s="1" t="s">
        <v>9</v>
      </c>
      <c r="F41" s="1" t="str">
        <f>IFERROR(__xludf.DUMMYFUNCTION("""COMPUTED_VALUE"""),"871764")</f>
        <v>871764</v>
      </c>
      <c r="G41" s="1" t="str">
        <f t="shared" si="1"/>
        <v>01/2/2023</v>
      </c>
      <c r="H41" s="1" t="str">
        <f t="shared" si="2"/>
        <v>10/29/1967</v>
      </c>
      <c r="I41" s="1" t="str">
        <f t="shared" si="3"/>
        <v>Gold</v>
      </c>
      <c r="J41" s="1" t="str">
        <f t="shared" si="4"/>
        <v>White</v>
      </c>
    </row>
    <row r="42" ht="14.25" customHeight="1">
      <c r="A42" s="1" t="s">
        <v>41</v>
      </c>
      <c r="B42" s="3">
        <v>12.0</v>
      </c>
      <c r="C42" s="1" t="s">
        <v>5</v>
      </c>
      <c r="D42" s="1" t="s">
        <v>42</v>
      </c>
      <c r="F42" s="1" t="str">
        <f>IFERROR(__xludf.DUMMYFUNCTION("""COMPUTED_VALUE"""),"189787")</f>
        <v>189787</v>
      </c>
      <c r="G42" s="1" t="str">
        <f t="shared" si="1"/>
        <v>01/20/2023</v>
      </c>
      <c r="H42" s="1" t="str">
        <f t="shared" si="2"/>
        <v>5/12/1986</v>
      </c>
      <c r="I42" s="1" t="str">
        <f t="shared" si="3"/>
        <v>Basic</v>
      </c>
      <c r="J42" s="1" t="str">
        <f t="shared" si="4"/>
        <v>Black</v>
      </c>
    </row>
    <row r="43" ht="14.25" customHeight="1">
      <c r="A43" s="1" t="s">
        <v>41</v>
      </c>
      <c r="B43" s="3">
        <v>12.0</v>
      </c>
      <c r="C43" s="1" t="s">
        <v>6</v>
      </c>
      <c r="D43" s="1" t="s">
        <v>11</v>
      </c>
      <c r="F43" s="1" t="str">
        <f>IFERROR(__xludf.DUMMYFUNCTION("""COMPUTED_VALUE"""),"733667")</f>
        <v>733667</v>
      </c>
      <c r="G43" s="1" t="str">
        <f t="shared" si="1"/>
        <v>01/20/2023</v>
      </c>
      <c r="H43" s="1" t="str">
        <f t="shared" si="2"/>
        <v>11/15/1944</v>
      </c>
      <c r="I43" s="1" t="str">
        <f t="shared" si="3"/>
        <v>Platinum</v>
      </c>
      <c r="J43" s="1" t="str">
        <f t="shared" si="4"/>
        <v>Black</v>
      </c>
    </row>
    <row r="44" ht="14.25" customHeight="1">
      <c r="A44" s="1" t="s">
        <v>43</v>
      </c>
      <c r="B44" s="3">
        <v>13.0</v>
      </c>
      <c r="C44" s="1" t="s">
        <v>7</v>
      </c>
      <c r="D44" s="1" t="s">
        <v>19</v>
      </c>
      <c r="F44" s="1" t="str">
        <f>IFERROR(__xludf.DUMMYFUNCTION("""COMPUTED_VALUE"""),"813344")</f>
        <v>813344</v>
      </c>
      <c r="G44" s="1" t="str">
        <f t="shared" si="1"/>
        <v>01/20/2023</v>
      </c>
      <c r="H44" s="1" t="str">
        <f t="shared" si="2"/>
        <v>11/4/1966</v>
      </c>
      <c r="I44" s="1" t="str">
        <f t="shared" si="3"/>
        <v>Gold</v>
      </c>
      <c r="J44" s="1" t="str">
        <f t="shared" si="4"/>
        <v>White</v>
      </c>
    </row>
    <row r="45" ht="14.25" customHeight="1">
      <c r="A45" s="1" t="s">
        <v>43</v>
      </c>
      <c r="B45" s="3">
        <v>13.0</v>
      </c>
      <c r="C45" s="1" t="s">
        <v>5</v>
      </c>
      <c r="D45" s="1" t="s">
        <v>44</v>
      </c>
      <c r="F45" s="1" t="str">
        <f>IFERROR(__xludf.DUMMYFUNCTION("""COMPUTED_VALUE"""),"102704")</f>
        <v>102704</v>
      </c>
      <c r="G45" s="1" t="str">
        <f t="shared" si="1"/>
        <v>01/23/2023</v>
      </c>
      <c r="H45" s="1" t="str">
        <f t="shared" si="2"/>
        <v>3/9/2000</v>
      </c>
      <c r="I45" s="1" t="str">
        <f t="shared" si="3"/>
        <v>Basic</v>
      </c>
      <c r="J45" s="1" t="str">
        <f t="shared" si="4"/>
        <v>Black</v>
      </c>
    </row>
    <row r="46" ht="14.25" customHeight="1">
      <c r="A46" s="1" t="s">
        <v>43</v>
      </c>
      <c r="B46" s="3">
        <v>13.0</v>
      </c>
      <c r="C46" s="1" t="s">
        <v>6</v>
      </c>
      <c r="D46" s="1" t="s">
        <v>21</v>
      </c>
      <c r="F46" s="1" t="str">
        <f>IFERROR(__xludf.DUMMYFUNCTION("""COMPUTED_VALUE"""),"548577")</f>
        <v>548577</v>
      </c>
      <c r="G46" s="1" t="str">
        <f t="shared" si="1"/>
        <v>01/23/2023</v>
      </c>
      <c r="H46" s="1" t="str">
        <f t="shared" si="2"/>
        <v>5/9/1962</v>
      </c>
      <c r="I46" s="1" t="str">
        <f t="shared" si="3"/>
        <v>Basic</v>
      </c>
      <c r="J46" s="1" t="str">
        <f t="shared" si="4"/>
        <v>White</v>
      </c>
    </row>
    <row r="47" ht="14.25" customHeight="1">
      <c r="A47" s="1" t="s">
        <v>45</v>
      </c>
      <c r="B47" s="3">
        <v>13.0</v>
      </c>
      <c r="C47" s="1" t="s">
        <v>7</v>
      </c>
      <c r="D47" s="1" t="s">
        <v>19</v>
      </c>
      <c r="F47" s="1" t="str">
        <f>IFERROR(__xludf.DUMMYFUNCTION("""COMPUTED_VALUE"""),"591154")</f>
        <v>591154</v>
      </c>
      <c r="G47" s="1" t="str">
        <f t="shared" si="1"/>
        <v>01/23/2023</v>
      </c>
      <c r="H47" s="1" t="str">
        <f t="shared" si="2"/>
        <v>12/1/2002</v>
      </c>
      <c r="I47" s="1" t="str">
        <f t="shared" si="3"/>
        <v>Basic</v>
      </c>
      <c r="J47" s="1" t="str">
        <f t="shared" si="4"/>
        <v>Black</v>
      </c>
    </row>
    <row r="48" ht="14.25" customHeight="1">
      <c r="A48" s="1" t="s">
        <v>45</v>
      </c>
      <c r="B48" s="3">
        <v>13.0</v>
      </c>
      <c r="C48" s="1" t="s">
        <v>5</v>
      </c>
      <c r="D48" s="1" t="s">
        <v>46</v>
      </c>
      <c r="F48" s="1" t="str">
        <f>IFERROR(__xludf.DUMMYFUNCTION("""COMPUTED_VALUE"""),"850402")</f>
        <v>850402</v>
      </c>
      <c r="G48" s="1" t="str">
        <f t="shared" si="1"/>
        <v>01/23/2023</v>
      </c>
      <c r="H48" s="1" t="str">
        <f t="shared" si="2"/>
        <v>9/17/1991</v>
      </c>
      <c r="I48" s="1" t="str">
        <f t="shared" si="3"/>
        <v>Gold</v>
      </c>
      <c r="J48" s="1" t="str">
        <f t="shared" si="4"/>
        <v>Other</v>
      </c>
    </row>
    <row r="49" ht="14.25" customHeight="1">
      <c r="A49" s="1" t="s">
        <v>45</v>
      </c>
      <c r="B49" s="3">
        <v>13.0</v>
      </c>
      <c r="C49" s="1" t="s">
        <v>6</v>
      </c>
      <c r="D49" s="1" t="s">
        <v>11</v>
      </c>
      <c r="F49" s="1" t="str">
        <f>IFERROR(__xludf.DUMMYFUNCTION("""COMPUTED_VALUE"""),"785116")</f>
        <v>785116</v>
      </c>
      <c r="G49" s="1" t="str">
        <f t="shared" si="1"/>
        <v>01/24/2023</v>
      </c>
      <c r="H49" s="1" t="str">
        <f t="shared" si="2"/>
        <v>11/25/1957</v>
      </c>
      <c r="I49" s="1" t="str">
        <f t="shared" si="3"/>
        <v>Gold</v>
      </c>
      <c r="J49" s="1" t="str">
        <f t="shared" si="4"/>
        <v>White</v>
      </c>
    </row>
    <row r="50" ht="14.25" customHeight="1">
      <c r="A50" s="1" t="s">
        <v>47</v>
      </c>
      <c r="B50" s="3">
        <v>13.0</v>
      </c>
      <c r="C50" s="1" t="s">
        <v>7</v>
      </c>
      <c r="D50" s="1" t="s">
        <v>25</v>
      </c>
      <c r="F50" s="1" t="str">
        <f>IFERROR(__xludf.DUMMYFUNCTION("""COMPUTED_VALUE"""),"943375")</f>
        <v>943375</v>
      </c>
      <c r="G50" s="1" t="str">
        <f t="shared" si="1"/>
        <v>01/24/2023</v>
      </c>
      <c r="H50" s="1" t="str">
        <f t="shared" si="2"/>
        <v>7/26/1958</v>
      </c>
      <c r="I50" s="1" t="str">
        <f t="shared" si="3"/>
        <v>Platinum</v>
      </c>
      <c r="J50" s="1" t="str">
        <f t="shared" si="4"/>
        <v>Other</v>
      </c>
    </row>
    <row r="51" ht="14.25" customHeight="1">
      <c r="A51" s="1" t="s">
        <v>47</v>
      </c>
      <c r="B51" s="3">
        <v>13.0</v>
      </c>
      <c r="C51" s="1" t="s">
        <v>5</v>
      </c>
      <c r="D51" s="1" t="s">
        <v>48</v>
      </c>
      <c r="F51" s="1" t="str">
        <f>IFERROR(__xludf.DUMMYFUNCTION("""COMPUTED_VALUE"""),"467914")</f>
        <v>467914</v>
      </c>
      <c r="G51" s="1" t="str">
        <f t="shared" si="1"/>
        <v>01/25/2023</v>
      </c>
      <c r="H51" s="1" t="str">
        <f t="shared" si="2"/>
        <v>2/25/1990</v>
      </c>
      <c r="I51" s="1" t="str">
        <f t="shared" si="3"/>
        <v>Gold</v>
      </c>
      <c r="J51" s="1" t="str">
        <f t="shared" si="4"/>
        <v>Asian</v>
      </c>
    </row>
    <row r="52" ht="14.25" customHeight="1">
      <c r="A52" s="1" t="s">
        <v>47</v>
      </c>
      <c r="B52" s="3">
        <v>13.0</v>
      </c>
      <c r="C52" s="1" t="s">
        <v>6</v>
      </c>
      <c r="D52" s="1" t="s">
        <v>21</v>
      </c>
      <c r="F52" s="1" t="str">
        <f>IFERROR(__xludf.DUMMYFUNCTION("""COMPUTED_VALUE"""),"714800")</f>
        <v>714800</v>
      </c>
      <c r="G52" s="1" t="str">
        <f t="shared" si="1"/>
        <v>01/26/2023</v>
      </c>
      <c r="H52" s="1" t="str">
        <f t="shared" si="2"/>
        <v>6/25/1974</v>
      </c>
      <c r="I52" s="1" t="str">
        <f t="shared" si="3"/>
        <v>Basic</v>
      </c>
      <c r="J52" s="1" t="str">
        <f t="shared" si="4"/>
        <v>Asian</v>
      </c>
    </row>
    <row r="53" ht="14.25" customHeight="1">
      <c r="A53" s="1" t="s">
        <v>49</v>
      </c>
      <c r="B53" s="3">
        <v>13.0</v>
      </c>
      <c r="C53" s="1" t="s">
        <v>7</v>
      </c>
      <c r="D53" s="1" t="s">
        <v>13</v>
      </c>
      <c r="F53" s="1" t="str">
        <f>IFERROR(__xludf.DUMMYFUNCTION("""COMPUTED_VALUE"""),"960368")</f>
        <v>960368</v>
      </c>
      <c r="G53" s="1" t="str">
        <f t="shared" si="1"/>
        <v>01/26/2023</v>
      </c>
      <c r="H53" s="1" t="str">
        <f t="shared" si="2"/>
        <v>9/5/1997</v>
      </c>
      <c r="I53" s="1" t="str">
        <f t="shared" si="3"/>
        <v>Platinum</v>
      </c>
      <c r="J53" s="1" t="str">
        <f t="shared" si="4"/>
        <v>Asian</v>
      </c>
    </row>
    <row r="54" ht="14.25" customHeight="1">
      <c r="A54" s="1" t="s">
        <v>49</v>
      </c>
      <c r="B54" s="3">
        <v>13.0</v>
      </c>
      <c r="C54" s="1" t="s">
        <v>5</v>
      </c>
      <c r="D54" s="1" t="s">
        <v>50</v>
      </c>
      <c r="F54" s="1" t="str">
        <f>IFERROR(__xludf.DUMMYFUNCTION("""COMPUTED_VALUE"""),"554004")</f>
        <v>554004</v>
      </c>
      <c r="G54" s="1" t="str">
        <f t="shared" si="1"/>
        <v>01/27/2023</v>
      </c>
      <c r="H54" s="1" t="str">
        <f t="shared" si="2"/>
        <v>7/20/1997</v>
      </c>
      <c r="I54" s="1" t="str">
        <f t="shared" si="3"/>
        <v>Gold</v>
      </c>
      <c r="J54" s="1" t="str">
        <f t="shared" si="4"/>
        <v>Asian</v>
      </c>
    </row>
    <row r="55" ht="14.25" customHeight="1">
      <c r="A55" s="1" t="s">
        <v>49</v>
      </c>
      <c r="B55" s="3">
        <v>13.0</v>
      </c>
      <c r="C55" s="1" t="s">
        <v>6</v>
      </c>
      <c r="D55" s="1" t="s">
        <v>11</v>
      </c>
      <c r="F55" s="1" t="str">
        <f>IFERROR(__xludf.DUMMYFUNCTION("""COMPUTED_VALUE"""),"626975")</f>
        <v>626975</v>
      </c>
      <c r="G55" s="1" t="str">
        <f t="shared" si="1"/>
        <v>01/27/2023</v>
      </c>
      <c r="H55" s="1" t="str">
        <f t="shared" si="2"/>
        <v>10/4/1948</v>
      </c>
      <c r="I55" s="1" t="str">
        <f t="shared" si="3"/>
        <v>Basic</v>
      </c>
      <c r="J55" s="1" t="str">
        <f t="shared" si="4"/>
        <v>Black</v>
      </c>
    </row>
    <row r="56" ht="14.25" customHeight="1">
      <c r="A56" s="1" t="s">
        <v>51</v>
      </c>
      <c r="B56" s="3">
        <v>14.0</v>
      </c>
      <c r="C56" s="1" t="s">
        <v>7</v>
      </c>
      <c r="D56" s="1" t="s">
        <v>9</v>
      </c>
      <c r="F56" s="1" t="str">
        <f>IFERROR(__xludf.DUMMYFUNCTION("""COMPUTED_VALUE"""),"691378")</f>
        <v>691378</v>
      </c>
      <c r="G56" s="1" t="str">
        <f t="shared" si="1"/>
        <v>01/27/2023</v>
      </c>
      <c r="H56" s="1" t="str">
        <f t="shared" si="2"/>
        <v>12/7/1979</v>
      </c>
      <c r="I56" s="1" t="str">
        <f t="shared" si="3"/>
        <v>Basic</v>
      </c>
      <c r="J56" s="1" t="str">
        <f t="shared" si="4"/>
        <v>Other</v>
      </c>
    </row>
    <row r="57" ht="14.25" customHeight="1">
      <c r="A57" s="1" t="s">
        <v>51</v>
      </c>
      <c r="B57" s="3">
        <v>14.0</v>
      </c>
      <c r="C57" s="1" t="s">
        <v>5</v>
      </c>
      <c r="D57" s="1" t="s">
        <v>52</v>
      </c>
      <c r="F57" s="1" t="str">
        <f>IFERROR(__xludf.DUMMYFUNCTION("""COMPUTED_VALUE"""),"772826")</f>
        <v>772826</v>
      </c>
      <c r="G57" s="1" t="str">
        <f t="shared" si="1"/>
        <v>01/28/2023</v>
      </c>
      <c r="H57" s="1" t="str">
        <f t="shared" si="2"/>
        <v>8/29/1978</v>
      </c>
      <c r="I57" s="1" t="str">
        <f t="shared" si="3"/>
        <v>Basic</v>
      </c>
      <c r="J57" s="1" t="str">
        <f t="shared" si="4"/>
        <v>White</v>
      </c>
    </row>
    <row r="58" ht="14.25" customHeight="1">
      <c r="A58" s="1" t="s">
        <v>51</v>
      </c>
      <c r="B58" s="3">
        <v>14.0</v>
      </c>
      <c r="C58" s="1" t="s">
        <v>6</v>
      </c>
      <c r="D58" s="1" t="s">
        <v>15</v>
      </c>
      <c r="F58" s="1" t="str">
        <f>IFERROR(__xludf.DUMMYFUNCTION("""COMPUTED_VALUE"""),"806804")</f>
        <v>806804</v>
      </c>
      <c r="G58" s="1" t="str">
        <f t="shared" si="1"/>
        <v>01/28/2023</v>
      </c>
      <c r="H58" s="1" t="str">
        <f t="shared" si="2"/>
        <v>10/5/1948</v>
      </c>
      <c r="I58" s="1" t="str">
        <f t="shared" si="3"/>
        <v>Basic</v>
      </c>
      <c r="J58" s="1" t="str">
        <f t="shared" si="4"/>
        <v>Other</v>
      </c>
    </row>
    <row r="59" ht="14.25" customHeight="1">
      <c r="A59" s="1" t="s">
        <v>53</v>
      </c>
      <c r="B59" s="3">
        <v>14.0</v>
      </c>
      <c r="C59" s="1" t="s">
        <v>7</v>
      </c>
      <c r="D59" s="1" t="s">
        <v>19</v>
      </c>
      <c r="F59" s="1" t="str">
        <f>IFERROR(__xludf.DUMMYFUNCTION("""COMPUTED_VALUE"""),"612794")</f>
        <v>612794</v>
      </c>
      <c r="G59" s="1" t="str">
        <f t="shared" si="1"/>
        <v>01/29/2023</v>
      </c>
      <c r="H59" s="1" t="str">
        <f t="shared" si="2"/>
        <v>11/12/1981</v>
      </c>
      <c r="I59" s="1" t="str">
        <f t="shared" si="3"/>
        <v>Basic</v>
      </c>
      <c r="J59" s="1" t="str">
        <f t="shared" si="4"/>
        <v>Asian</v>
      </c>
    </row>
    <row r="60" ht="14.25" customHeight="1">
      <c r="A60" s="1" t="s">
        <v>53</v>
      </c>
      <c r="B60" s="3">
        <v>14.0</v>
      </c>
      <c r="C60" s="1" t="s">
        <v>5</v>
      </c>
      <c r="D60" s="1" t="s">
        <v>54</v>
      </c>
      <c r="F60" s="1" t="str">
        <f>IFERROR(__xludf.DUMMYFUNCTION("""COMPUTED_VALUE"""),"784685")</f>
        <v>784685</v>
      </c>
      <c r="G60" s="1" t="str">
        <f t="shared" si="1"/>
        <v>01/29/2023</v>
      </c>
      <c r="H60" s="1" t="str">
        <f t="shared" si="2"/>
        <v>6/17/1968</v>
      </c>
      <c r="I60" s="1" t="str">
        <f t="shared" si="3"/>
        <v>Platinum</v>
      </c>
      <c r="J60" s="1" t="str">
        <f t="shared" si="4"/>
        <v>White</v>
      </c>
    </row>
    <row r="61" ht="14.25" customHeight="1">
      <c r="A61" s="1" t="s">
        <v>53</v>
      </c>
      <c r="B61" s="3">
        <v>14.0</v>
      </c>
      <c r="C61" s="1" t="s">
        <v>6</v>
      </c>
      <c r="D61" s="1" t="s">
        <v>15</v>
      </c>
      <c r="F61" s="1" t="str">
        <f>IFERROR(__xludf.DUMMYFUNCTION("""COMPUTED_VALUE"""),"806648")</f>
        <v>806648</v>
      </c>
      <c r="G61" s="1" t="str">
        <f t="shared" si="1"/>
        <v>01/29/2023</v>
      </c>
      <c r="H61" s="1" t="str">
        <f t="shared" si="2"/>
        <v>8/20/1986</v>
      </c>
      <c r="I61" s="1" t="str">
        <f t="shared" si="3"/>
        <v>Platinum</v>
      </c>
      <c r="J61" s="1" t="str">
        <f t="shared" si="4"/>
        <v>Other</v>
      </c>
    </row>
    <row r="62" ht="14.25" customHeight="1">
      <c r="A62" s="1" t="s">
        <v>55</v>
      </c>
      <c r="B62" s="3">
        <v>14.0</v>
      </c>
      <c r="C62" s="1" t="s">
        <v>7</v>
      </c>
      <c r="D62" s="1" t="s">
        <v>25</v>
      </c>
      <c r="F62" s="1" t="str">
        <f>IFERROR(__xludf.DUMMYFUNCTION("""COMPUTED_VALUE"""),"957631")</f>
        <v>957631</v>
      </c>
      <c r="G62" s="1" t="str">
        <f t="shared" si="1"/>
        <v>01/29/2023</v>
      </c>
      <c r="H62" s="1" t="str">
        <f t="shared" si="2"/>
        <v>6/19/1956</v>
      </c>
      <c r="I62" s="1" t="str">
        <f t="shared" si="3"/>
        <v>Basic</v>
      </c>
      <c r="J62" s="1" t="str">
        <f t="shared" si="4"/>
        <v>Black</v>
      </c>
    </row>
    <row r="63" ht="14.25" customHeight="1">
      <c r="A63" s="1" t="s">
        <v>55</v>
      </c>
      <c r="B63" s="3">
        <v>14.0</v>
      </c>
      <c r="C63" s="1" t="s">
        <v>5</v>
      </c>
      <c r="D63" s="1" t="s">
        <v>56</v>
      </c>
      <c r="F63" s="1" t="str">
        <f>IFERROR(__xludf.DUMMYFUNCTION("""COMPUTED_VALUE"""),"349505")</f>
        <v>349505</v>
      </c>
      <c r="G63" s="1" t="str">
        <f t="shared" si="1"/>
        <v>01/3/2023</v>
      </c>
      <c r="H63" s="1" t="str">
        <f t="shared" si="2"/>
        <v>9/13/1961</v>
      </c>
      <c r="I63" s="1" t="str">
        <f t="shared" si="3"/>
        <v>Basic</v>
      </c>
      <c r="J63" s="1" t="str">
        <f t="shared" si="4"/>
        <v>White</v>
      </c>
    </row>
    <row r="64" ht="14.25" customHeight="1">
      <c r="A64" s="1" t="s">
        <v>55</v>
      </c>
      <c r="B64" s="3">
        <v>14.0</v>
      </c>
      <c r="C64" s="1" t="s">
        <v>6</v>
      </c>
      <c r="D64" s="1" t="s">
        <v>15</v>
      </c>
      <c r="F64" s="1" t="str">
        <f>IFERROR(__xludf.DUMMYFUNCTION("""COMPUTED_VALUE"""),"490910")</f>
        <v>490910</v>
      </c>
      <c r="G64" s="1" t="str">
        <f t="shared" si="1"/>
        <v>01/3/2023</v>
      </c>
      <c r="H64" s="1" t="str">
        <f t="shared" si="2"/>
        <v>5/23/1981</v>
      </c>
      <c r="I64" s="1" t="str">
        <f t="shared" si="3"/>
        <v>Basic</v>
      </c>
      <c r="J64" s="1" t="str">
        <f t="shared" si="4"/>
        <v>White</v>
      </c>
    </row>
    <row r="65" ht="14.25" customHeight="1">
      <c r="A65" s="1" t="s">
        <v>57</v>
      </c>
      <c r="B65" s="3">
        <v>14.0</v>
      </c>
      <c r="C65" s="1" t="s">
        <v>7</v>
      </c>
      <c r="D65" s="1" t="s">
        <v>25</v>
      </c>
      <c r="F65" s="1" t="str">
        <f>IFERROR(__xludf.DUMMYFUNCTION("""COMPUTED_VALUE"""),"754791")</f>
        <v>754791</v>
      </c>
      <c r="G65" s="1" t="str">
        <f t="shared" si="1"/>
        <v>01/3/2023</v>
      </c>
      <c r="H65" s="1" t="str">
        <f t="shared" si="2"/>
        <v>7/17/1952</v>
      </c>
      <c r="I65" s="1" t="str">
        <f t="shared" si="3"/>
        <v>Basic</v>
      </c>
      <c r="J65" s="1" t="str">
        <f t="shared" si="4"/>
        <v>Other</v>
      </c>
    </row>
    <row r="66" ht="14.25" customHeight="1">
      <c r="A66" s="1" t="s">
        <v>57</v>
      </c>
      <c r="B66" s="3">
        <v>14.0</v>
      </c>
      <c r="C66" s="1" t="s">
        <v>5</v>
      </c>
      <c r="D66" s="1" t="s">
        <v>58</v>
      </c>
      <c r="F66" s="1" t="str">
        <f>IFERROR(__xludf.DUMMYFUNCTION("""COMPUTED_VALUE"""),"711747")</f>
        <v>711747</v>
      </c>
      <c r="G66" s="1" t="str">
        <f t="shared" si="1"/>
        <v>01/30/2023</v>
      </c>
      <c r="H66" s="1" t="str">
        <f t="shared" si="2"/>
        <v>9/28/1940</v>
      </c>
      <c r="I66" s="1" t="str">
        <f t="shared" si="3"/>
        <v>Gold</v>
      </c>
      <c r="J66" s="1" t="str">
        <f t="shared" si="4"/>
        <v>White</v>
      </c>
    </row>
    <row r="67" ht="14.25" customHeight="1">
      <c r="A67" s="1" t="s">
        <v>57</v>
      </c>
      <c r="B67" s="3">
        <v>14.0</v>
      </c>
      <c r="C67" s="1" t="s">
        <v>6</v>
      </c>
      <c r="D67" s="1" t="s">
        <v>21</v>
      </c>
      <c r="F67" s="1" t="str">
        <f>IFERROR(__xludf.DUMMYFUNCTION("""COMPUTED_VALUE"""),"721471")</f>
        <v>721471</v>
      </c>
      <c r="G67" s="1" t="str">
        <f t="shared" si="1"/>
        <v>01/31/2023</v>
      </c>
      <c r="H67" s="1" t="str">
        <f t="shared" si="2"/>
        <v>8/17/1985</v>
      </c>
      <c r="I67" s="1" t="str">
        <f t="shared" si="3"/>
        <v>Platinum</v>
      </c>
      <c r="J67" s="1" t="str">
        <f t="shared" si="4"/>
        <v>Other</v>
      </c>
    </row>
    <row r="68" ht="14.25" customHeight="1">
      <c r="A68" s="1" t="s">
        <v>59</v>
      </c>
      <c r="B68" s="3">
        <v>14.0</v>
      </c>
      <c r="C68" s="1" t="s">
        <v>7</v>
      </c>
      <c r="D68" s="1" t="s">
        <v>9</v>
      </c>
      <c r="F68" s="1" t="str">
        <f>IFERROR(__xludf.DUMMYFUNCTION("""COMPUTED_VALUE"""),"777515")</f>
        <v>777515</v>
      </c>
      <c r="G68" s="1" t="str">
        <f t="shared" si="1"/>
        <v>01/31/2023</v>
      </c>
      <c r="H68" s="1" t="str">
        <f t="shared" si="2"/>
        <v>4/3/1989</v>
      </c>
      <c r="I68" s="1" t="str">
        <f t="shared" si="3"/>
        <v>Basic</v>
      </c>
      <c r="J68" s="1" t="str">
        <f t="shared" si="4"/>
        <v>White</v>
      </c>
    </row>
    <row r="69" ht="14.25" customHeight="1">
      <c r="A69" s="1" t="s">
        <v>59</v>
      </c>
      <c r="B69" s="3">
        <v>14.0</v>
      </c>
      <c r="C69" s="1" t="s">
        <v>5</v>
      </c>
      <c r="D69" s="1" t="s">
        <v>60</v>
      </c>
      <c r="F69" s="1" t="str">
        <f>IFERROR(__xludf.DUMMYFUNCTION("""COMPUTED_VALUE"""),"801438")</f>
        <v>801438</v>
      </c>
      <c r="G69" s="1" t="str">
        <f t="shared" si="1"/>
        <v>01/31/2023</v>
      </c>
      <c r="H69" s="1" t="str">
        <f t="shared" si="2"/>
        <v>6/20/1950</v>
      </c>
      <c r="I69" s="1" t="str">
        <f t="shared" si="3"/>
        <v>Basic</v>
      </c>
      <c r="J69" s="1" t="str">
        <f t="shared" si="4"/>
        <v>Asian</v>
      </c>
    </row>
    <row r="70" ht="14.25" customHeight="1">
      <c r="A70" s="1" t="s">
        <v>59</v>
      </c>
      <c r="B70" s="3">
        <v>14.0</v>
      </c>
      <c r="C70" s="1" t="s">
        <v>6</v>
      </c>
      <c r="D70" s="1" t="s">
        <v>11</v>
      </c>
      <c r="F70" s="1" t="str">
        <f>IFERROR(__xludf.DUMMYFUNCTION("""COMPUTED_VALUE"""),"223982")</f>
        <v>223982</v>
      </c>
      <c r="G70" s="1" t="str">
        <f t="shared" si="1"/>
        <v>01/4/2023</v>
      </c>
      <c r="H70" s="1" t="str">
        <f t="shared" si="2"/>
        <v>8/12/1956</v>
      </c>
      <c r="I70" s="1" t="str">
        <f t="shared" si="3"/>
        <v>Gold</v>
      </c>
      <c r="J70" s="1" t="str">
        <f t="shared" si="4"/>
        <v>White</v>
      </c>
    </row>
    <row r="71" ht="14.25" customHeight="1">
      <c r="A71" s="1" t="s">
        <v>61</v>
      </c>
      <c r="B71" s="3">
        <v>15.0</v>
      </c>
      <c r="C71" s="1" t="s">
        <v>7</v>
      </c>
      <c r="D71" s="1" t="s">
        <v>9</v>
      </c>
      <c r="F71" s="1" t="str">
        <f>IFERROR(__xludf.DUMMYFUNCTION("""COMPUTED_VALUE"""),"246208")</f>
        <v>246208</v>
      </c>
      <c r="G71" s="1" t="str">
        <f t="shared" si="1"/>
        <v>01/4/2023</v>
      </c>
      <c r="H71" s="1" t="str">
        <f t="shared" si="2"/>
        <v>9/11/1996</v>
      </c>
      <c r="I71" s="1" t="str">
        <f t="shared" si="3"/>
        <v>Platinum</v>
      </c>
      <c r="J71" s="1" t="str">
        <f t="shared" si="4"/>
        <v>White</v>
      </c>
    </row>
    <row r="72" ht="14.25" customHeight="1">
      <c r="A72" s="1" t="s">
        <v>61</v>
      </c>
      <c r="B72" s="3">
        <v>15.0</v>
      </c>
      <c r="C72" s="1" t="s">
        <v>5</v>
      </c>
      <c r="D72" s="1" t="s">
        <v>62</v>
      </c>
      <c r="F72" s="1" t="str">
        <f>IFERROR(__xludf.DUMMYFUNCTION("""COMPUTED_VALUE"""),"311919")</f>
        <v>311919</v>
      </c>
      <c r="G72" s="1" t="str">
        <f t="shared" si="1"/>
        <v>01/4/2023</v>
      </c>
      <c r="H72" s="1" t="str">
        <f t="shared" si="2"/>
        <v>6/26/1961</v>
      </c>
      <c r="I72" s="1" t="str">
        <f t="shared" si="3"/>
        <v>Gold</v>
      </c>
      <c r="J72" s="1" t="str">
        <f t="shared" si="4"/>
        <v>Other</v>
      </c>
    </row>
    <row r="73" ht="14.25" customHeight="1">
      <c r="A73" s="1" t="s">
        <v>61</v>
      </c>
      <c r="B73" s="3">
        <v>15.0</v>
      </c>
      <c r="C73" s="1" t="s">
        <v>6</v>
      </c>
      <c r="D73" s="1" t="s">
        <v>11</v>
      </c>
      <c r="F73" s="1" t="str">
        <f>IFERROR(__xludf.DUMMYFUNCTION("""COMPUTED_VALUE"""),"604893")</f>
        <v>604893</v>
      </c>
      <c r="G73" s="1" t="str">
        <f t="shared" si="1"/>
        <v>01/4/2023</v>
      </c>
      <c r="H73" s="1" t="str">
        <f t="shared" si="2"/>
        <v>11/10/1959</v>
      </c>
      <c r="I73" s="1" t="str">
        <f t="shared" si="3"/>
        <v>Platinum</v>
      </c>
      <c r="J73" s="1" t="str">
        <f t="shared" si="4"/>
        <v>White</v>
      </c>
    </row>
    <row r="74" ht="14.25" customHeight="1">
      <c r="A74" s="1" t="s">
        <v>63</v>
      </c>
      <c r="B74" s="3">
        <v>16.0</v>
      </c>
      <c r="C74" s="1" t="s">
        <v>7</v>
      </c>
      <c r="D74" s="1" t="s">
        <v>13</v>
      </c>
      <c r="F74" s="1" t="str">
        <f>IFERROR(__xludf.DUMMYFUNCTION("""COMPUTED_VALUE"""),"920752")</f>
        <v>920752</v>
      </c>
      <c r="G74" s="1" t="str">
        <f t="shared" si="1"/>
        <v>01/4/2023</v>
      </c>
      <c r="H74" s="1" t="str">
        <f t="shared" si="2"/>
        <v>9/1/1990</v>
      </c>
      <c r="I74" s="1" t="str">
        <f t="shared" si="3"/>
        <v>Gold</v>
      </c>
      <c r="J74" s="1" t="str">
        <f t="shared" si="4"/>
        <v>White</v>
      </c>
    </row>
    <row r="75" ht="14.25" customHeight="1">
      <c r="A75" s="1" t="s">
        <v>63</v>
      </c>
      <c r="B75" s="3">
        <v>16.0</v>
      </c>
      <c r="C75" s="1" t="s">
        <v>5</v>
      </c>
      <c r="D75" s="1" t="s">
        <v>64</v>
      </c>
      <c r="F75" s="1" t="str">
        <f>IFERROR(__xludf.DUMMYFUNCTION("""COMPUTED_VALUE"""),"314042")</f>
        <v>314042</v>
      </c>
      <c r="G75" s="1" t="str">
        <f t="shared" si="1"/>
        <v>01/5/2023</v>
      </c>
      <c r="H75" s="1" t="str">
        <f t="shared" si="2"/>
        <v>12/26/1986</v>
      </c>
      <c r="I75" s="1" t="str">
        <f t="shared" si="3"/>
        <v>Platinum</v>
      </c>
      <c r="J75" s="1" t="str">
        <f t="shared" si="4"/>
        <v>Asian</v>
      </c>
    </row>
    <row r="76" ht="14.25" customHeight="1">
      <c r="A76" s="1" t="s">
        <v>63</v>
      </c>
      <c r="B76" s="3">
        <v>16.0</v>
      </c>
      <c r="C76" s="1" t="s">
        <v>6</v>
      </c>
      <c r="D76" s="1" t="s">
        <v>15</v>
      </c>
      <c r="F76" s="1" t="str">
        <f>IFERROR(__xludf.DUMMYFUNCTION("""COMPUTED_VALUE"""),"806747")</f>
        <v>806747</v>
      </c>
      <c r="G76" s="1" t="str">
        <f t="shared" si="1"/>
        <v>01/5/2023</v>
      </c>
      <c r="H76" s="1" t="str">
        <f t="shared" si="2"/>
        <v>5/31/2007</v>
      </c>
      <c r="I76" s="1" t="str">
        <f t="shared" si="3"/>
        <v>Basic</v>
      </c>
      <c r="J76" s="1" t="str">
        <f t="shared" si="4"/>
        <v>Other</v>
      </c>
    </row>
    <row r="77" ht="14.25" customHeight="1">
      <c r="A77" s="1" t="s">
        <v>65</v>
      </c>
      <c r="B77" s="3">
        <v>16.0</v>
      </c>
      <c r="C77" s="1" t="s">
        <v>7</v>
      </c>
      <c r="D77" s="1" t="s">
        <v>19</v>
      </c>
      <c r="F77" s="1" t="str">
        <f>IFERROR(__xludf.DUMMYFUNCTION("""COMPUTED_VALUE"""),"829199")</f>
        <v>829199</v>
      </c>
      <c r="G77" s="1" t="str">
        <f t="shared" si="1"/>
        <v>01/5/2023</v>
      </c>
      <c r="H77" s="1" t="str">
        <f t="shared" si="2"/>
        <v>1/25/1978</v>
      </c>
      <c r="I77" s="1" t="str">
        <f t="shared" si="3"/>
        <v>Basic</v>
      </c>
      <c r="J77" s="1" t="str">
        <f t="shared" si="4"/>
        <v>Other</v>
      </c>
    </row>
    <row r="78" ht="14.25" customHeight="1">
      <c r="A78" s="1" t="s">
        <v>65</v>
      </c>
      <c r="B78" s="3">
        <v>16.0</v>
      </c>
      <c r="C78" s="1" t="s">
        <v>5</v>
      </c>
      <c r="D78" s="1" t="s">
        <v>66</v>
      </c>
      <c r="F78" s="1" t="str">
        <f>IFERROR(__xludf.DUMMYFUNCTION("""COMPUTED_VALUE"""),"899966")</f>
        <v>899966</v>
      </c>
      <c r="G78" s="1" t="str">
        <f t="shared" si="1"/>
        <v>01/5/2023</v>
      </c>
      <c r="H78" s="1" t="str">
        <f t="shared" si="2"/>
        <v>2/13/2015</v>
      </c>
      <c r="I78" s="1" t="str">
        <f t="shared" si="3"/>
        <v>Gold</v>
      </c>
      <c r="J78" s="1" t="str">
        <f t="shared" si="4"/>
        <v>White</v>
      </c>
    </row>
    <row r="79" ht="14.25" customHeight="1">
      <c r="A79" s="1" t="s">
        <v>65</v>
      </c>
      <c r="B79" s="3">
        <v>16.0</v>
      </c>
      <c r="C79" s="1" t="s">
        <v>6</v>
      </c>
      <c r="D79" s="1" t="s">
        <v>15</v>
      </c>
      <c r="F79" s="1" t="str">
        <f>IFERROR(__xludf.DUMMYFUNCTION("""COMPUTED_VALUE"""),"929308")</f>
        <v>929308</v>
      </c>
      <c r="G79" s="1" t="str">
        <f t="shared" si="1"/>
        <v>01/5/2023</v>
      </c>
      <c r="H79" s="1" t="str">
        <f t="shared" si="2"/>
        <v>10/19/2004</v>
      </c>
      <c r="I79" s="1" t="str">
        <f t="shared" si="3"/>
        <v>Basic</v>
      </c>
      <c r="J79" s="1" t="str">
        <f t="shared" si="4"/>
        <v>Other</v>
      </c>
    </row>
    <row r="80" ht="14.25" customHeight="1">
      <c r="A80" s="1" t="s">
        <v>67</v>
      </c>
      <c r="B80" s="3">
        <v>17.0</v>
      </c>
      <c r="C80" s="1" t="s">
        <v>7</v>
      </c>
      <c r="D80" s="1" t="s">
        <v>25</v>
      </c>
      <c r="F80" s="1" t="str">
        <f>IFERROR(__xludf.DUMMYFUNCTION("""COMPUTED_VALUE"""),"809513")</f>
        <v>809513</v>
      </c>
      <c r="G80" s="1" t="str">
        <f t="shared" si="1"/>
        <v>01/6/2023</v>
      </c>
      <c r="H80" s="1" t="str">
        <f t="shared" si="2"/>
        <v>1/1/1951</v>
      </c>
      <c r="I80" s="1" t="str">
        <f t="shared" si="3"/>
        <v>Basic</v>
      </c>
      <c r="J80" s="1" t="str">
        <f t="shared" si="4"/>
        <v>Black</v>
      </c>
    </row>
    <row r="81" ht="14.25" customHeight="1">
      <c r="A81" s="1" t="s">
        <v>67</v>
      </c>
      <c r="B81" s="3">
        <v>17.0</v>
      </c>
      <c r="C81" s="1" t="s">
        <v>5</v>
      </c>
      <c r="D81" s="1" t="s">
        <v>68</v>
      </c>
      <c r="F81" s="1" t="str">
        <f>IFERROR(__xludf.DUMMYFUNCTION("""COMPUTED_VALUE"""),"840464")</f>
        <v>840464</v>
      </c>
      <c r="G81" s="1" t="str">
        <f t="shared" si="1"/>
        <v>01/6/2023</v>
      </c>
      <c r="H81" s="1" t="str">
        <f t="shared" si="2"/>
        <v>7/18/1968</v>
      </c>
      <c r="I81" s="1" t="str">
        <f t="shared" si="3"/>
        <v>Gold</v>
      </c>
      <c r="J81" s="1" t="str">
        <f t="shared" si="4"/>
        <v>Asian</v>
      </c>
    </row>
    <row r="82" ht="14.25" customHeight="1">
      <c r="A82" s="1" t="s">
        <v>67</v>
      </c>
      <c r="B82" s="3">
        <v>17.0</v>
      </c>
      <c r="C82" s="1" t="s">
        <v>6</v>
      </c>
      <c r="D82" s="1" t="s">
        <v>15</v>
      </c>
      <c r="F82" s="1" t="str">
        <f>IFERROR(__xludf.DUMMYFUNCTION("""COMPUTED_VALUE"""),"543545")</f>
        <v>543545</v>
      </c>
      <c r="G82" s="1" t="str">
        <f t="shared" si="1"/>
        <v>01/8/2023</v>
      </c>
      <c r="H82" s="1" t="str">
        <f t="shared" si="2"/>
        <v>8/30/1986</v>
      </c>
      <c r="I82" s="1" t="str">
        <f t="shared" si="3"/>
        <v>Basic</v>
      </c>
      <c r="J82" s="1" t="str">
        <f t="shared" si="4"/>
        <v>Asian</v>
      </c>
    </row>
    <row r="83" ht="14.25" customHeight="1">
      <c r="A83" s="1" t="s">
        <v>69</v>
      </c>
      <c r="B83" s="3">
        <v>17.0</v>
      </c>
      <c r="C83" s="1" t="s">
        <v>7</v>
      </c>
      <c r="D83" s="1" t="s">
        <v>19</v>
      </c>
      <c r="F83" s="1" t="str">
        <f>IFERROR(__xludf.DUMMYFUNCTION("""COMPUTED_VALUE"""),"191607")</f>
        <v>191607</v>
      </c>
      <c r="G83" s="1" t="str">
        <f t="shared" si="1"/>
        <v>01/9/2023</v>
      </c>
      <c r="H83" s="1" t="str">
        <f t="shared" si="2"/>
        <v>3/15/1963</v>
      </c>
      <c r="I83" s="1" t="str">
        <f t="shared" si="3"/>
        <v>Gold</v>
      </c>
      <c r="J83" s="1" t="str">
        <f t="shared" si="4"/>
        <v>White</v>
      </c>
    </row>
    <row r="84" ht="14.25" customHeight="1">
      <c r="A84" s="1" t="s">
        <v>69</v>
      </c>
      <c r="B84" s="3">
        <v>17.0</v>
      </c>
      <c r="C84" s="1" t="s">
        <v>5</v>
      </c>
      <c r="D84" s="1" t="s">
        <v>70</v>
      </c>
      <c r="F84" s="1" t="str">
        <f>IFERROR(__xludf.DUMMYFUNCTION("""COMPUTED_VALUE"""),"602662")</f>
        <v>602662</v>
      </c>
      <c r="G84" s="1" t="str">
        <f t="shared" si="1"/>
        <v>01/9/2023</v>
      </c>
      <c r="H84" s="1" t="str">
        <f t="shared" si="2"/>
        <v>3/7/1958</v>
      </c>
      <c r="I84" s="1" t="str">
        <f t="shared" si="3"/>
        <v>Basic</v>
      </c>
      <c r="J84" s="1" t="str">
        <f t="shared" si="4"/>
        <v>Other</v>
      </c>
    </row>
    <row r="85" ht="14.25" customHeight="1">
      <c r="A85" s="1" t="s">
        <v>69</v>
      </c>
      <c r="B85" s="3">
        <v>17.0</v>
      </c>
      <c r="C85" s="1" t="s">
        <v>6</v>
      </c>
      <c r="D85" s="1" t="s">
        <v>15</v>
      </c>
      <c r="F85" s="1"/>
    </row>
    <row r="86" ht="14.25" customHeight="1">
      <c r="A86" s="1" t="s">
        <v>71</v>
      </c>
      <c r="B86" s="3">
        <v>17.0</v>
      </c>
      <c r="C86" s="1" t="s">
        <v>7</v>
      </c>
      <c r="D86" s="1" t="s">
        <v>13</v>
      </c>
    </row>
    <row r="87" ht="14.25" customHeight="1">
      <c r="A87" s="1" t="s">
        <v>71</v>
      </c>
      <c r="B87" s="3">
        <v>17.0</v>
      </c>
      <c r="C87" s="1" t="s">
        <v>5</v>
      </c>
      <c r="D87" s="1" t="s">
        <v>72</v>
      </c>
    </row>
    <row r="88" ht="14.25" customHeight="1">
      <c r="A88" s="1" t="s">
        <v>71</v>
      </c>
      <c r="B88" s="3">
        <v>17.0</v>
      </c>
      <c r="C88" s="1" t="s">
        <v>6</v>
      </c>
      <c r="D88" s="1" t="s">
        <v>15</v>
      </c>
    </row>
    <row r="89" ht="14.25" customHeight="1">
      <c r="A89" s="1" t="s">
        <v>73</v>
      </c>
      <c r="B89" s="3">
        <v>18.0</v>
      </c>
      <c r="C89" s="1" t="s">
        <v>7</v>
      </c>
      <c r="D89" s="1" t="s">
        <v>25</v>
      </c>
    </row>
    <row r="90" ht="14.25" customHeight="1">
      <c r="A90" s="1" t="s">
        <v>73</v>
      </c>
      <c r="B90" s="3">
        <v>18.0</v>
      </c>
      <c r="C90" s="1" t="s">
        <v>5</v>
      </c>
      <c r="D90" s="1" t="s">
        <v>74</v>
      </c>
    </row>
    <row r="91" ht="14.25" customHeight="1">
      <c r="A91" s="1" t="s">
        <v>73</v>
      </c>
      <c r="B91" s="3">
        <v>18.0</v>
      </c>
      <c r="C91" s="1" t="s">
        <v>6</v>
      </c>
      <c r="D91" s="1" t="s">
        <v>11</v>
      </c>
    </row>
    <row r="92" ht="14.25" customHeight="1">
      <c r="A92" s="1" t="s">
        <v>75</v>
      </c>
      <c r="B92" s="3">
        <v>18.0</v>
      </c>
      <c r="C92" s="1" t="s">
        <v>7</v>
      </c>
      <c r="D92" s="1" t="s">
        <v>9</v>
      </c>
    </row>
    <row r="93" ht="14.25" customHeight="1">
      <c r="A93" s="1" t="s">
        <v>75</v>
      </c>
      <c r="B93" s="3">
        <v>18.0</v>
      </c>
      <c r="C93" s="1" t="s">
        <v>5</v>
      </c>
      <c r="D93" s="1" t="s">
        <v>76</v>
      </c>
    </row>
    <row r="94" ht="14.25" customHeight="1">
      <c r="A94" s="1" t="s">
        <v>75</v>
      </c>
      <c r="B94" s="3">
        <v>18.0</v>
      </c>
      <c r="C94" s="1" t="s">
        <v>6</v>
      </c>
      <c r="D94" s="1" t="s">
        <v>11</v>
      </c>
    </row>
    <row r="95" ht="14.25" customHeight="1">
      <c r="A95" s="1" t="s">
        <v>77</v>
      </c>
      <c r="B95" s="3">
        <v>19.0</v>
      </c>
      <c r="C95" s="1" t="s">
        <v>7</v>
      </c>
      <c r="D95" s="1" t="s">
        <v>25</v>
      </c>
    </row>
    <row r="96" ht="14.25" customHeight="1">
      <c r="A96" s="1" t="s">
        <v>77</v>
      </c>
      <c r="B96" s="3">
        <v>19.0</v>
      </c>
      <c r="C96" s="1" t="s">
        <v>5</v>
      </c>
      <c r="D96" s="1" t="s">
        <v>78</v>
      </c>
    </row>
    <row r="97" ht="14.25" customHeight="1">
      <c r="A97" s="1" t="s">
        <v>77</v>
      </c>
      <c r="B97" s="3">
        <v>19.0</v>
      </c>
      <c r="C97" s="1" t="s">
        <v>6</v>
      </c>
      <c r="D97" s="1" t="s">
        <v>15</v>
      </c>
    </row>
    <row r="98" ht="14.25" customHeight="1">
      <c r="A98" s="1" t="s">
        <v>79</v>
      </c>
      <c r="B98" s="3">
        <v>19.0</v>
      </c>
      <c r="C98" s="1" t="s">
        <v>7</v>
      </c>
      <c r="D98" s="1" t="s">
        <v>25</v>
      </c>
    </row>
    <row r="99" ht="14.25" customHeight="1">
      <c r="A99" s="1" t="s">
        <v>79</v>
      </c>
      <c r="B99" s="3">
        <v>19.0</v>
      </c>
      <c r="C99" s="1" t="s">
        <v>5</v>
      </c>
      <c r="D99" s="1" t="s">
        <v>80</v>
      </c>
    </row>
    <row r="100" ht="14.25" customHeight="1">
      <c r="A100" s="1" t="s">
        <v>79</v>
      </c>
      <c r="B100" s="3">
        <v>19.0</v>
      </c>
      <c r="C100" s="1" t="s">
        <v>6</v>
      </c>
      <c r="D100" s="1" t="s">
        <v>15</v>
      </c>
    </row>
    <row r="101" ht="14.25" customHeight="1">
      <c r="A101" s="1" t="s">
        <v>81</v>
      </c>
      <c r="B101" s="3">
        <v>19.0</v>
      </c>
      <c r="C101" s="1" t="s">
        <v>7</v>
      </c>
      <c r="D101" s="1" t="s">
        <v>13</v>
      </c>
    </row>
    <row r="102" ht="14.25" customHeight="1">
      <c r="A102" s="1" t="s">
        <v>81</v>
      </c>
      <c r="B102" s="3">
        <v>19.0</v>
      </c>
      <c r="C102" s="1" t="s">
        <v>5</v>
      </c>
      <c r="D102" s="1" t="s">
        <v>82</v>
      </c>
    </row>
    <row r="103" ht="14.25" customHeight="1">
      <c r="A103" s="1" t="s">
        <v>81</v>
      </c>
      <c r="B103" s="3">
        <v>19.0</v>
      </c>
      <c r="C103" s="1" t="s">
        <v>6</v>
      </c>
      <c r="D103" s="1" t="s">
        <v>15</v>
      </c>
    </row>
    <row r="104" ht="14.25" customHeight="1">
      <c r="A104" s="1" t="s">
        <v>83</v>
      </c>
      <c r="B104" s="3">
        <v>19.0</v>
      </c>
      <c r="C104" s="1" t="s">
        <v>7</v>
      </c>
      <c r="D104" s="1" t="s">
        <v>13</v>
      </c>
    </row>
    <row r="105" ht="14.25" customHeight="1">
      <c r="A105" s="1" t="s">
        <v>83</v>
      </c>
      <c r="B105" s="3">
        <v>19.0</v>
      </c>
      <c r="C105" s="1" t="s">
        <v>5</v>
      </c>
      <c r="D105" s="1" t="s">
        <v>84</v>
      </c>
    </row>
    <row r="106" ht="14.25" customHeight="1">
      <c r="A106" s="1" t="s">
        <v>83</v>
      </c>
      <c r="B106" s="3">
        <v>19.0</v>
      </c>
      <c r="C106" s="1" t="s">
        <v>6</v>
      </c>
      <c r="D106" s="1" t="s">
        <v>11</v>
      </c>
    </row>
    <row r="107" ht="14.25" customHeight="1">
      <c r="A107" s="1" t="s">
        <v>85</v>
      </c>
      <c r="B107" s="3">
        <v>2.0</v>
      </c>
      <c r="C107" s="1" t="s">
        <v>7</v>
      </c>
      <c r="D107" s="1" t="s">
        <v>13</v>
      </c>
    </row>
    <row r="108" ht="14.25" customHeight="1">
      <c r="A108" s="1" t="s">
        <v>85</v>
      </c>
      <c r="B108" s="3">
        <v>2.0</v>
      </c>
      <c r="C108" s="1" t="s">
        <v>5</v>
      </c>
      <c r="D108" s="1" t="s">
        <v>86</v>
      </c>
    </row>
    <row r="109" ht="14.25" customHeight="1">
      <c r="A109" s="1" t="s">
        <v>85</v>
      </c>
      <c r="B109" s="3">
        <v>2.0</v>
      </c>
      <c r="C109" s="1" t="s">
        <v>6</v>
      </c>
      <c r="D109" s="1" t="s">
        <v>21</v>
      </c>
    </row>
    <row r="110" ht="14.25" customHeight="1">
      <c r="A110" s="1" t="s">
        <v>87</v>
      </c>
      <c r="B110" s="3">
        <v>2.0</v>
      </c>
      <c r="C110" s="1" t="s">
        <v>7</v>
      </c>
      <c r="D110" s="1" t="s">
        <v>13</v>
      </c>
    </row>
    <row r="111" ht="14.25" customHeight="1">
      <c r="A111" s="1" t="s">
        <v>87</v>
      </c>
      <c r="B111" s="3">
        <v>2.0</v>
      </c>
      <c r="C111" s="1" t="s">
        <v>5</v>
      </c>
      <c r="D111" s="1" t="s">
        <v>88</v>
      </c>
    </row>
    <row r="112" ht="14.25" customHeight="1">
      <c r="A112" s="1" t="s">
        <v>87</v>
      </c>
      <c r="B112" s="3">
        <v>2.0</v>
      </c>
      <c r="C112" s="1" t="s">
        <v>6</v>
      </c>
      <c r="D112" s="1" t="s">
        <v>11</v>
      </c>
    </row>
    <row r="113" ht="14.25" customHeight="1">
      <c r="A113" s="1" t="s">
        <v>89</v>
      </c>
      <c r="B113" s="3">
        <v>2.0</v>
      </c>
      <c r="C113" s="1" t="s">
        <v>7</v>
      </c>
      <c r="D113" s="1" t="s">
        <v>13</v>
      </c>
    </row>
    <row r="114" ht="14.25" customHeight="1">
      <c r="A114" s="1" t="s">
        <v>89</v>
      </c>
      <c r="B114" s="3">
        <v>2.0</v>
      </c>
      <c r="C114" s="1" t="s">
        <v>5</v>
      </c>
      <c r="D114" s="1" t="s">
        <v>90</v>
      </c>
    </row>
    <row r="115" ht="14.25" customHeight="1">
      <c r="A115" s="1" t="s">
        <v>89</v>
      </c>
      <c r="B115" s="3">
        <v>2.0</v>
      </c>
      <c r="C115" s="1" t="s">
        <v>6</v>
      </c>
      <c r="D115" s="1" t="s">
        <v>11</v>
      </c>
    </row>
    <row r="116" ht="14.25" customHeight="1">
      <c r="A116" s="1" t="s">
        <v>91</v>
      </c>
      <c r="B116" s="3">
        <v>2.0</v>
      </c>
      <c r="C116" s="1" t="s">
        <v>7</v>
      </c>
      <c r="D116" s="1" t="s">
        <v>25</v>
      </c>
    </row>
    <row r="117" ht="14.25" customHeight="1">
      <c r="A117" s="1" t="s">
        <v>91</v>
      </c>
      <c r="B117" s="3">
        <v>2.0</v>
      </c>
      <c r="C117" s="1" t="s">
        <v>5</v>
      </c>
      <c r="D117" s="1" t="s">
        <v>92</v>
      </c>
    </row>
    <row r="118" ht="14.25" customHeight="1">
      <c r="A118" s="1" t="s">
        <v>91</v>
      </c>
      <c r="B118" s="3">
        <v>2.0</v>
      </c>
      <c r="C118" s="1" t="s">
        <v>6</v>
      </c>
      <c r="D118" s="1" t="s">
        <v>11</v>
      </c>
    </row>
    <row r="119" ht="14.25" customHeight="1">
      <c r="A119" s="1" t="s">
        <v>93</v>
      </c>
      <c r="B119" s="3">
        <v>2.0</v>
      </c>
      <c r="C119" s="1" t="s">
        <v>7</v>
      </c>
      <c r="D119" s="1" t="s">
        <v>13</v>
      </c>
    </row>
    <row r="120" ht="14.25" customHeight="1">
      <c r="A120" s="1" t="s">
        <v>93</v>
      </c>
      <c r="B120" s="3">
        <v>2.0</v>
      </c>
      <c r="C120" s="1" t="s">
        <v>5</v>
      </c>
      <c r="D120" s="1" t="s">
        <v>94</v>
      </c>
    </row>
    <row r="121" ht="14.25" customHeight="1">
      <c r="A121" s="1" t="s">
        <v>93</v>
      </c>
      <c r="B121" s="3">
        <v>2.0</v>
      </c>
      <c r="C121" s="1" t="s">
        <v>6</v>
      </c>
      <c r="D121" s="1" t="s">
        <v>15</v>
      </c>
    </row>
    <row r="122" ht="14.25" customHeight="1">
      <c r="A122" s="1" t="s">
        <v>95</v>
      </c>
      <c r="B122" s="3">
        <v>20.0</v>
      </c>
      <c r="C122" s="1" t="s">
        <v>7</v>
      </c>
      <c r="D122" s="1" t="s">
        <v>25</v>
      </c>
    </row>
    <row r="123" ht="14.25" customHeight="1">
      <c r="A123" s="1" t="s">
        <v>95</v>
      </c>
      <c r="B123" s="3">
        <v>20.0</v>
      </c>
      <c r="C123" s="1" t="s">
        <v>5</v>
      </c>
      <c r="D123" s="1" t="s">
        <v>96</v>
      </c>
    </row>
    <row r="124" ht="14.25" customHeight="1">
      <c r="A124" s="1" t="s">
        <v>95</v>
      </c>
      <c r="B124" s="3">
        <v>20.0</v>
      </c>
      <c r="C124" s="1" t="s">
        <v>6</v>
      </c>
      <c r="D124" s="1" t="s">
        <v>21</v>
      </c>
    </row>
    <row r="125" ht="14.25" customHeight="1">
      <c r="A125" s="1" t="s">
        <v>97</v>
      </c>
      <c r="B125" s="3">
        <v>20.0</v>
      </c>
      <c r="C125" s="1" t="s">
        <v>7</v>
      </c>
      <c r="D125" s="1" t="s">
        <v>25</v>
      </c>
    </row>
    <row r="126" ht="14.25" customHeight="1">
      <c r="A126" s="1" t="s">
        <v>97</v>
      </c>
      <c r="B126" s="3">
        <v>20.0</v>
      </c>
      <c r="C126" s="1" t="s">
        <v>5</v>
      </c>
      <c r="D126" s="1" t="s">
        <v>98</v>
      </c>
    </row>
    <row r="127" ht="14.25" customHeight="1">
      <c r="A127" s="1" t="s">
        <v>97</v>
      </c>
      <c r="B127" s="3">
        <v>20.0</v>
      </c>
      <c r="C127" s="1" t="s">
        <v>6</v>
      </c>
      <c r="D127" s="1" t="s">
        <v>11</v>
      </c>
    </row>
    <row r="128" ht="14.25" customHeight="1">
      <c r="A128" s="1" t="s">
        <v>99</v>
      </c>
      <c r="B128" s="3">
        <v>20.0</v>
      </c>
      <c r="C128" s="1" t="s">
        <v>7</v>
      </c>
      <c r="D128" s="1" t="s">
        <v>13</v>
      </c>
    </row>
    <row r="129" ht="14.25" customHeight="1">
      <c r="A129" s="1" t="s">
        <v>99</v>
      </c>
      <c r="B129" s="3">
        <v>20.0</v>
      </c>
      <c r="C129" s="1" t="s">
        <v>5</v>
      </c>
      <c r="D129" s="1" t="s">
        <v>100</v>
      </c>
    </row>
    <row r="130" ht="14.25" customHeight="1">
      <c r="A130" s="1" t="s">
        <v>99</v>
      </c>
      <c r="B130" s="3">
        <v>20.0</v>
      </c>
      <c r="C130" s="1" t="s">
        <v>6</v>
      </c>
      <c r="D130" s="1" t="s">
        <v>15</v>
      </c>
    </row>
    <row r="131" ht="14.25" customHeight="1">
      <c r="A131" s="1" t="s">
        <v>101</v>
      </c>
      <c r="B131" s="3">
        <v>23.0</v>
      </c>
      <c r="C131" s="1" t="s">
        <v>7</v>
      </c>
      <c r="D131" s="1" t="s">
        <v>25</v>
      </c>
    </row>
    <row r="132" ht="14.25" customHeight="1">
      <c r="A132" s="1" t="s">
        <v>101</v>
      </c>
      <c r="B132" s="3">
        <v>23.0</v>
      </c>
      <c r="C132" s="1" t="s">
        <v>5</v>
      </c>
      <c r="D132" s="1" t="s">
        <v>102</v>
      </c>
    </row>
    <row r="133" ht="14.25" customHeight="1">
      <c r="A133" s="1" t="s">
        <v>101</v>
      </c>
      <c r="B133" s="3">
        <v>23.0</v>
      </c>
      <c r="C133" s="1" t="s">
        <v>6</v>
      </c>
      <c r="D133" s="1" t="s">
        <v>21</v>
      </c>
    </row>
    <row r="134" ht="14.25" customHeight="1">
      <c r="A134" s="1" t="s">
        <v>103</v>
      </c>
      <c r="B134" s="3">
        <v>23.0</v>
      </c>
      <c r="C134" s="1" t="s">
        <v>7</v>
      </c>
      <c r="D134" s="1" t="s">
        <v>13</v>
      </c>
    </row>
    <row r="135" ht="14.25" customHeight="1">
      <c r="A135" s="1" t="s">
        <v>103</v>
      </c>
      <c r="B135" s="3">
        <v>23.0</v>
      </c>
      <c r="C135" s="1" t="s">
        <v>5</v>
      </c>
      <c r="D135" s="1" t="s">
        <v>104</v>
      </c>
    </row>
    <row r="136" ht="14.25" customHeight="1">
      <c r="A136" s="1" t="s">
        <v>103</v>
      </c>
      <c r="B136" s="3">
        <v>23.0</v>
      </c>
      <c r="C136" s="1" t="s">
        <v>6</v>
      </c>
      <c r="D136" s="1" t="s">
        <v>21</v>
      </c>
    </row>
    <row r="137" ht="14.25" customHeight="1">
      <c r="A137" s="1" t="s">
        <v>105</v>
      </c>
      <c r="B137" s="3">
        <v>23.0</v>
      </c>
      <c r="C137" s="1" t="s">
        <v>7</v>
      </c>
      <c r="D137" s="1" t="s">
        <v>25</v>
      </c>
    </row>
    <row r="138" ht="14.25" customHeight="1">
      <c r="A138" s="1" t="s">
        <v>105</v>
      </c>
      <c r="B138" s="3">
        <v>23.0</v>
      </c>
      <c r="C138" s="1" t="s">
        <v>5</v>
      </c>
      <c r="D138" s="1" t="s">
        <v>106</v>
      </c>
    </row>
    <row r="139" ht="14.25" customHeight="1">
      <c r="A139" s="1" t="s">
        <v>105</v>
      </c>
      <c r="B139" s="3">
        <v>23.0</v>
      </c>
      <c r="C139" s="1" t="s">
        <v>6</v>
      </c>
      <c r="D139" s="1" t="s">
        <v>21</v>
      </c>
    </row>
    <row r="140" ht="14.25" customHeight="1">
      <c r="A140" s="1" t="s">
        <v>107</v>
      </c>
      <c r="B140" s="3">
        <v>23.0</v>
      </c>
      <c r="C140" s="1" t="s">
        <v>7</v>
      </c>
      <c r="D140" s="1" t="s">
        <v>9</v>
      </c>
    </row>
    <row r="141" ht="14.25" customHeight="1">
      <c r="A141" s="1" t="s">
        <v>107</v>
      </c>
      <c r="B141" s="3">
        <v>23.0</v>
      </c>
      <c r="C141" s="1" t="s">
        <v>5</v>
      </c>
      <c r="D141" s="1" t="s">
        <v>108</v>
      </c>
    </row>
    <row r="142" ht="14.25" customHeight="1">
      <c r="A142" s="1" t="s">
        <v>107</v>
      </c>
      <c r="B142" s="3">
        <v>23.0</v>
      </c>
      <c r="C142" s="1" t="s">
        <v>6</v>
      </c>
      <c r="D142" s="1" t="s">
        <v>15</v>
      </c>
    </row>
    <row r="143" ht="14.25" customHeight="1">
      <c r="A143" s="1" t="s">
        <v>109</v>
      </c>
      <c r="B143" s="3">
        <v>24.0</v>
      </c>
      <c r="C143" s="1" t="s">
        <v>7</v>
      </c>
      <c r="D143" s="1" t="s">
        <v>13</v>
      </c>
    </row>
    <row r="144" ht="14.25" customHeight="1">
      <c r="A144" s="1" t="s">
        <v>109</v>
      </c>
      <c r="B144" s="3">
        <v>24.0</v>
      </c>
      <c r="C144" s="1" t="s">
        <v>5</v>
      </c>
      <c r="D144" s="1" t="s">
        <v>110</v>
      </c>
    </row>
    <row r="145" ht="14.25" customHeight="1">
      <c r="A145" s="1" t="s">
        <v>109</v>
      </c>
      <c r="B145" s="3">
        <v>24.0</v>
      </c>
      <c r="C145" s="1" t="s">
        <v>6</v>
      </c>
      <c r="D145" s="1" t="s">
        <v>15</v>
      </c>
    </row>
    <row r="146" ht="14.25" customHeight="1">
      <c r="A146" s="1" t="s">
        <v>111</v>
      </c>
      <c r="B146" s="3">
        <v>24.0</v>
      </c>
      <c r="C146" s="1" t="s">
        <v>7</v>
      </c>
      <c r="D146" s="1" t="s">
        <v>9</v>
      </c>
    </row>
    <row r="147" ht="14.25" customHeight="1">
      <c r="A147" s="1" t="s">
        <v>111</v>
      </c>
      <c r="B147" s="3">
        <v>24.0</v>
      </c>
      <c r="C147" s="1" t="s">
        <v>5</v>
      </c>
      <c r="D147" s="1" t="s">
        <v>112</v>
      </c>
    </row>
    <row r="148" ht="14.25" customHeight="1">
      <c r="A148" s="1" t="s">
        <v>111</v>
      </c>
      <c r="B148" s="3">
        <v>24.0</v>
      </c>
      <c r="C148" s="1" t="s">
        <v>6</v>
      </c>
      <c r="D148" s="1" t="s">
        <v>11</v>
      </c>
    </row>
    <row r="149" ht="14.25" customHeight="1">
      <c r="A149" s="1" t="s">
        <v>113</v>
      </c>
      <c r="B149" s="3">
        <v>25.0</v>
      </c>
      <c r="C149" s="1" t="s">
        <v>7</v>
      </c>
      <c r="D149" s="1" t="s">
        <v>19</v>
      </c>
    </row>
    <row r="150" ht="14.25" customHeight="1">
      <c r="A150" s="1" t="s">
        <v>113</v>
      </c>
      <c r="B150" s="3">
        <v>25.0</v>
      </c>
      <c r="C150" s="1" t="s">
        <v>5</v>
      </c>
      <c r="D150" s="1" t="s">
        <v>114</v>
      </c>
    </row>
    <row r="151" ht="14.25" customHeight="1">
      <c r="A151" s="1" t="s">
        <v>113</v>
      </c>
      <c r="B151" s="3">
        <v>25.0</v>
      </c>
      <c r="C151" s="1" t="s">
        <v>6</v>
      </c>
      <c r="D151" s="1" t="s">
        <v>15</v>
      </c>
    </row>
    <row r="152" ht="14.25" customHeight="1">
      <c r="A152" s="1" t="s">
        <v>115</v>
      </c>
      <c r="B152" s="3">
        <v>26.0</v>
      </c>
      <c r="C152" s="1" t="s">
        <v>7</v>
      </c>
      <c r="D152" s="1" t="s">
        <v>19</v>
      </c>
    </row>
    <row r="153" ht="14.25" customHeight="1">
      <c r="A153" s="1" t="s">
        <v>115</v>
      </c>
      <c r="B153" s="3">
        <v>26.0</v>
      </c>
      <c r="C153" s="1" t="s">
        <v>5</v>
      </c>
      <c r="D153" s="1" t="s">
        <v>116</v>
      </c>
    </row>
    <row r="154" ht="14.25" customHeight="1">
      <c r="A154" s="1" t="s">
        <v>115</v>
      </c>
      <c r="B154" s="3">
        <v>26.0</v>
      </c>
      <c r="C154" s="1" t="s">
        <v>6</v>
      </c>
      <c r="D154" s="1" t="s">
        <v>21</v>
      </c>
    </row>
    <row r="155" ht="14.25" customHeight="1">
      <c r="A155" s="1" t="s">
        <v>117</v>
      </c>
      <c r="B155" s="3">
        <v>26.0</v>
      </c>
      <c r="C155" s="1" t="s">
        <v>7</v>
      </c>
      <c r="D155" s="1" t="s">
        <v>19</v>
      </c>
    </row>
    <row r="156" ht="14.25" customHeight="1">
      <c r="A156" s="1" t="s">
        <v>117</v>
      </c>
      <c r="B156" s="3">
        <v>26.0</v>
      </c>
      <c r="C156" s="1" t="s">
        <v>5</v>
      </c>
      <c r="D156" s="1" t="s">
        <v>118</v>
      </c>
    </row>
    <row r="157" ht="14.25" customHeight="1">
      <c r="A157" s="1" t="s">
        <v>117</v>
      </c>
      <c r="B157" s="3">
        <v>26.0</v>
      </c>
      <c r="C157" s="1" t="s">
        <v>6</v>
      </c>
      <c r="D157" s="1" t="s">
        <v>11</v>
      </c>
    </row>
    <row r="158" ht="14.25" customHeight="1">
      <c r="A158" s="1" t="s">
        <v>119</v>
      </c>
      <c r="B158" s="3">
        <v>27.0</v>
      </c>
      <c r="C158" s="1" t="s">
        <v>7</v>
      </c>
      <c r="D158" s="1" t="s">
        <v>19</v>
      </c>
    </row>
    <row r="159" ht="14.25" customHeight="1">
      <c r="A159" s="1" t="s">
        <v>119</v>
      </c>
      <c r="B159" s="3">
        <v>27.0</v>
      </c>
      <c r="C159" s="1" t="s">
        <v>5</v>
      </c>
      <c r="D159" s="1" t="s">
        <v>120</v>
      </c>
    </row>
    <row r="160" ht="14.25" customHeight="1">
      <c r="A160" s="1" t="s">
        <v>119</v>
      </c>
      <c r="B160" s="3">
        <v>27.0</v>
      </c>
      <c r="C160" s="1" t="s">
        <v>6</v>
      </c>
      <c r="D160" s="1" t="s">
        <v>15</v>
      </c>
    </row>
    <row r="161" ht="14.25" customHeight="1">
      <c r="A161" s="1" t="s">
        <v>121</v>
      </c>
      <c r="B161" s="3">
        <v>27.0</v>
      </c>
      <c r="C161" s="1" t="s">
        <v>7</v>
      </c>
      <c r="D161" s="1" t="s">
        <v>25</v>
      </c>
    </row>
    <row r="162" ht="14.25" customHeight="1">
      <c r="A162" s="1" t="s">
        <v>121</v>
      </c>
      <c r="B162" s="3">
        <v>27.0</v>
      </c>
      <c r="C162" s="1" t="s">
        <v>5</v>
      </c>
      <c r="D162" s="1" t="s">
        <v>122</v>
      </c>
    </row>
    <row r="163" ht="14.25" customHeight="1">
      <c r="A163" s="1" t="s">
        <v>121</v>
      </c>
      <c r="B163" s="3">
        <v>27.0</v>
      </c>
      <c r="C163" s="1" t="s">
        <v>6</v>
      </c>
      <c r="D163" s="1" t="s">
        <v>21</v>
      </c>
    </row>
    <row r="164" ht="14.25" customHeight="1">
      <c r="A164" s="1" t="s">
        <v>123</v>
      </c>
      <c r="B164" s="3">
        <v>27.0</v>
      </c>
      <c r="C164" s="1" t="s">
        <v>7</v>
      </c>
      <c r="D164" s="1" t="s">
        <v>9</v>
      </c>
    </row>
    <row r="165" ht="14.25" customHeight="1">
      <c r="A165" s="1" t="s">
        <v>123</v>
      </c>
      <c r="B165" s="3">
        <v>27.0</v>
      </c>
      <c r="C165" s="1" t="s">
        <v>5</v>
      </c>
      <c r="D165" s="1" t="s">
        <v>124</v>
      </c>
    </row>
    <row r="166" ht="14.25" customHeight="1">
      <c r="A166" s="1" t="s">
        <v>123</v>
      </c>
      <c r="B166" s="3">
        <v>27.0</v>
      </c>
      <c r="C166" s="1" t="s">
        <v>6</v>
      </c>
      <c r="D166" s="1" t="s">
        <v>21</v>
      </c>
    </row>
    <row r="167" ht="14.25" customHeight="1">
      <c r="A167" s="1" t="s">
        <v>125</v>
      </c>
      <c r="B167" s="3">
        <v>28.0</v>
      </c>
      <c r="C167" s="1" t="s">
        <v>7</v>
      </c>
      <c r="D167" s="1" t="s">
        <v>13</v>
      </c>
    </row>
    <row r="168" ht="14.25" customHeight="1">
      <c r="A168" s="1" t="s">
        <v>125</v>
      </c>
      <c r="B168" s="3">
        <v>28.0</v>
      </c>
      <c r="C168" s="1" t="s">
        <v>5</v>
      </c>
      <c r="D168" s="1" t="s">
        <v>126</v>
      </c>
    </row>
    <row r="169" ht="14.25" customHeight="1">
      <c r="A169" s="1" t="s">
        <v>125</v>
      </c>
      <c r="B169" s="3">
        <v>28.0</v>
      </c>
      <c r="C169" s="1" t="s">
        <v>6</v>
      </c>
      <c r="D169" s="1" t="s">
        <v>21</v>
      </c>
    </row>
    <row r="170" ht="14.25" customHeight="1">
      <c r="A170" s="1" t="s">
        <v>127</v>
      </c>
      <c r="B170" s="3">
        <v>28.0</v>
      </c>
      <c r="C170" s="1" t="s">
        <v>7</v>
      </c>
      <c r="D170" s="1" t="s">
        <v>9</v>
      </c>
    </row>
    <row r="171" ht="14.25" customHeight="1">
      <c r="A171" s="1" t="s">
        <v>127</v>
      </c>
      <c r="B171" s="3">
        <v>28.0</v>
      </c>
      <c r="C171" s="1" t="s">
        <v>5</v>
      </c>
      <c r="D171" s="1" t="s">
        <v>128</v>
      </c>
    </row>
    <row r="172" ht="14.25" customHeight="1">
      <c r="A172" s="1" t="s">
        <v>127</v>
      </c>
      <c r="B172" s="3">
        <v>28.0</v>
      </c>
      <c r="C172" s="1" t="s">
        <v>6</v>
      </c>
      <c r="D172" s="1" t="s">
        <v>21</v>
      </c>
    </row>
    <row r="173" ht="14.25" customHeight="1">
      <c r="A173" s="1" t="s">
        <v>129</v>
      </c>
      <c r="B173" s="3">
        <v>29.0</v>
      </c>
      <c r="C173" s="1" t="s">
        <v>7</v>
      </c>
      <c r="D173" s="1" t="s">
        <v>19</v>
      </c>
    </row>
    <row r="174" ht="14.25" customHeight="1">
      <c r="A174" s="1" t="s">
        <v>129</v>
      </c>
      <c r="B174" s="3">
        <v>29.0</v>
      </c>
      <c r="C174" s="1" t="s">
        <v>5</v>
      </c>
      <c r="D174" s="1" t="s">
        <v>130</v>
      </c>
    </row>
    <row r="175" ht="14.25" customHeight="1">
      <c r="A175" s="1" t="s">
        <v>129</v>
      </c>
      <c r="B175" s="3">
        <v>29.0</v>
      </c>
      <c r="C175" s="1" t="s">
        <v>6</v>
      </c>
      <c r="D175" s="1" t="s">
        <v>21</v>
      </c>
    </row>
    <row r="176" ht="14.25" customHeight="1">
      <c r="A176" s="1" t="s">
        <v>131</v>
      </c>
      <c r="B176" s="3">
        <v>29.0</v>
      </c>
      <c r="C176" s="1" t="s">
        <v>7</v>
      </c>
      <c r="D176" s="1" t="s">
        <v>13</v>
      </c>
    </row>
    <row r="177" ht="14.25" customHeight="1">
      <c r="A177" s="1" t="s">
        <v>131</v>
      </c>
      <c r="B177" s="3">
        <v>29.0</v>
      </c>
      <c r="C177" s="1" t="s">
        <v>5</v>
      </c>
      <c r="D177" s="1" t="s">
        <v>132</v>
      </c>
    </row>
    <row r="178" ht="14.25" customHeight="1">
      <c r="A178" s="1" t="s">
        <v>131</v>
      </c>
      <c r="B178" s="3">
        <v>29.0</v>
      </c>
      <c r="C178" s="1" t="s">
        <v>6</v>
      </c>
      <c r="D178" s="1" t="s">
        <v>11</v>
      </c>
    </row>
    <row r="179" ht="14.25" customHeight="1">
      <c r="A179" s="1" t="s">
        <v>133</v>
      </c>
      <c r="B179" s="3">
        <v>29.0</v>
      </c>
      <c r="C179" s="1" t="s">
        <v>7</v>
      </c>
      <c r="D179" s="1" t="s">
        <v>9</v>
      </c>
    </row>
    <row r="180" ht="14.25" customHeight="1">
      <c r="A180" s="1" t="s">
        <v>133</v>
      </c>
      <c r="B180" s="3">
        <v>29.0</v>
      </c>
      <c r="C180" s="1" t="s">
        <v>5</v>
      </c>
      <c r="D180" s="1" t="s">
        <v>134</v>
      </c>
    </row>
    <row r="181" ht="14.25" customHeight="1">
      <c r="A181" s="1" t="s">
        <v>133</v>
      </c>
      <c r="B181" s="3">
        <v>29.0</v>
      </c>
      <c r="C181" s="1" t="s">
        <v>6</v>
      </c>
      <c r="D181" s="1" t="s">
        <v>11</v>
      </c>
    </row>
    <row r="182" ht="14.25" customHeight="1">
      <c r="A182" s="1" t="s">
        <v>135</v>
      </c>
      <c r="B182" s="3">
        <v>29.0</v>
      </c>
      <c r="C182" s="1" t="s">
        <v>7</v>
      </c>
      <c r="D182" s="1" t="s">
        <v>25</v>
      </c>
    </row>
    <row r="183" ht="14.25" customHeight="1">
      <c r="A183" s="1" t="s">
        <v>135</v>
      </c>
      <c r="B183" s="3">
        <v>29.0</v>
      </c>
      <c r="C183" s="1" t="s">
        <v>5</v>
      </c>
      <c r="D183" s="1" t="s">
        <v>136</v>
      </c>
    </row>
    <row r="184" ht="14.25" customHeight="1">
      <c r="A184" s="1" t="s">
        <v>135</v>
      </c>
      <c r="B184" s="3">
        <v>29.0</v>
      </c>
      <c r="C184" s="1" t="s">
        <v>6</v>
      </c>
      <c r="D184" s="1" t="s">
        <v>21</v>
      </c>
    </row>
    <row r="185" ht="14.25" customHeight="1">
      <c r="A185" s="1" t="s">
        <v>137</v>
      </c>
      <c r="B185" s="3">
        <v>3.0</v>
      </c>
      <c r="C185" s="1" t="s">
        <v>7</v>
      </c>
      <c r="D185" s="1" t="s">
        <v>13</v>
      </c>
    </row>
    <row r="186" ht="14.25" customHeight="1">
      <c r="A186" s="1" t="s">
        <v>137</v>
      </c>
      <c r="B186" s="3">
        <v>3.0</v>
      </c>
      <c r="C186" s="1" t="s">
        <v>5</v>
      </c>
      <c r="D186" s="1" t="s">
        <v>138</v>
      </c>
    </row>
    <row r="187" ht="14.25" customHeight="1">
      <c r="A187" s="1" t="s">
        <v>137</v>
      </c>
      <c r="B187" s="3">
        <v>3.0</v>
      </c>
      <c r="C187" s="1" t="s">
        <v>6</v>
      </c>
      <c r="D187" s="1" t="s">
        <v>21</v>
      </c>
    </row>
    <row r="188" ht="14.25" customHeight="1">
      <c r="A188" s="1" t="s">
        <v>139</v>
      </c>
      <c r="B188" s="3">
        <v>3.0</v>
      </c>
      <c r="C188" s="1" t="s">
        <v>7</v>
      </c>
      <c r="D188" s="1" t="s">
        <v>13</v>
      </c>
    </row>
    <row r="189" ht="14.25" customHeight="1">
      <c r="A189" s="1" t="s">
        <v>139</v>
      </c>
      <c r="B189" s="3">
        <v>3.0</v>
      </c>
      <c r="C189" s="1" t="s">
        <v>5</v>
      </c>
      <c r="D189" s="1" t="s">
        <v>140</v>
      </c>
    </row>
    <row r="190" ht="14.25" customHeight="1">
      <c r="A190" s="1" t="s">
        <v>139</v>
      </c>
      <c r="B190" s="3">
        <v>3.0</v>
      </c>
      <c r="C190" s="1" t="s">
        <v>6</v>
      </c>
      <c r="D190" s="1" t="s">
        <v>21</v>
      </c>
    </row>
    <row r="191" ht="14.25" customHeight="1">
      <c r="A191" s="1" t="s">
        <v>141</v>
      </c>
      <c r="B191" s="3">
        <v>3.0</v>
      </c>
      <c r="C191" s="1" t="s">
        <v>7</v>
      </c>
      <c r="D191" s="1" t="s">
        <v>9</v>
      </c>
    </row>
    <row r="192" ht="14.25" customHeight="1">
      <c r="A192" s="1" t="s">
        <v>141</v>
      </c>
      <c r="B192" s="3">
        <v>3.0</v>
      </c>
      <c r="C192" s="1" t="s">
        <v>5</v>
      </c>
      <c r="D192" s="1" t="s">
        <v>142</v>
      </c>
    </row>
    <row r="193" ht="14.25" customHeight="1">
      <c r="A193" s="1" t="s">
        <v>141</v>
      </c>
      <c r="B193" s="3">
        <v>3.0</v>
      </c>
      <c r="C193" s="1" t="s">
        <v>6</v>
      </c>
      <c r="D193" s="1" t="s">
        <v>21</v>
      </c>
    </row>
    <row r="194" ht="14.25" customHeight="1">
      <c r="A194" s="1" t="s">
        <v>143</v>
      </c>
      <c r="B194" s="3">
        <v>30.0</v>
      </c>
      <c r="C194" s="1" t="s">
        <v>7</v>
      </c>
      <c r="D194" s="1" t="s">
        <v>13</v>
      </c>
    </row>
    <row r="195" ht="14.25" customHeight="1">
      <c r="A195" s="1" t="s">
        <v>143</v>
      </c>
      <c r="B195" s="3">
        <v>30.0</v>
      </c>
      <c r="C195" s="1" t="s">
        <v>5</v>
      </c>
      <c r="D195" s="1" t="s">
        <v>144</v>
      </c>
    </row>
    <row r="196" ht="14.25" customHeight="1">
      <c r="A196" s="1" t="s">
        <v>143</v>
      </c>
      <c r="B196" s="3">
        <v>30.0</v>
      </c>
      <c r="C196" s="1" t="s">
        <v>6</v>
      </c>
      <c r="D196" s="1" t="s">
        <v>15</v>
      </c>
    </row>
    <row r="197" ht="14.25" customHeight="1">
      <c r="A197" s="1" t="s">
        <v>145</v>
      </c>
      <c r="B197" s="3">
        <v>31.0</v>
      </c>
      <c r="C197" s="1" t="s">
        <v>7</v>
      </c>
      <c r="D197" s="1" t="s">
        <v>9</v>
      </c>
    </row>
    <row r="198" ht="14.25" customHeight="1">
      <c r="A198" s="1" t="s">
        <v>145</v>
      </c>
      <c r="B198" s="3">
        <v>31.0</v>
      </c>
      <c r="C198" s="1" t="s">
        <v>5</v>
      </c>
      <c r="D198" s="1" t="s">
        <v>146</v>
      </c>
    </row>
    <row r="199" ht="14.25" customHeight="1">
      <c r="A199" s="1" t="s">
        <v>145</v>
      </c>
      <c r="B199" s="3">
        <v>31.0</v>
      </c>
      <c r="C199" s="1" t="s">
        <v>6</v>
      </c>
      <c r="D199" s="1" t="s">
        <v>11</v>
      </c>
    </row>
    <row r="200" ht="14.25" customHeight="1">
      <c r="A200" s="1" t="s">
        <v>147</v>
      </c>
      <c r="B200" s="3">
        <v>31.0</v>
      </c>
      <c r="C200" s="1" t="s">
        <v>7</v>
      </c>
      <c r="D200" s="1" t="s">
        <v>13</v>
      </c>
    </row>
    <row r="201" ht="14.25" customHeight="1">
      <c r="A201" s="1" t="s">
        <v>147</v>
      </c>
      <c r="B201" s="3">
        <v>31.0</v>
      </c>
      <c r="C201" s="1" t="s">
        <v>5</v>
      </c>
      <c r="D201" s="1" t="s">
        <v>148</v>
      </c>
    </row>
    <row r="202" ht="14.25" customHeight="1">
      <c r="A202" s="1" t="s">
        <v>147</v>
      </c>
      <c r="B202" s="3">
        <v>31.0</v>
      </c>
      <c r="C202" s="1" t="s">
        <v>6</v>
      </c>
      <c r="D202" s="1" t="s">
        <v>21</v>
      </c>
    </row>
    <row r="203" ht="14.25" customHeight="1">
      <c r="A203" s="1" t="s">
        <v>149</v>
      </c>
      <c r="B203" s="3">
        <v>31.0</v>
      </c>
      <c r="C203" s="1" t="s">
        <v>7</v>
      </c>
      <c r="D203" s="1" t="s">
        <v>19</v>
      </c>
    </row>
    <row r="204" ht="14.25" customHeight="1">
      <c r="A204" s="1" t="s">
        <v>149</v>
      </c>
      <c r="B204" s="3">
        <v>31.0</v>
      </c>
      <c r="C204" s="1" t="s">
        <v>5</v>
      </c>
      <c r="D204" s="1" t="s">
        <v>150</v>
      </c>
    </row>
    <row r="205" ht="14.25" customHeight="1">
      <c r="A205" s="1" t="s">
        <v>149</v>
      </c>
      <c r="B205" s="3">
        <v>31.0</v>
      </c>
      <c r="C205" s="1" t="s">
        <v>6</v>
      </c>
      <c r="D205" s="1" t="s">
        <v>21</v>
      </c>
    </row>
    <row r="206" ht="14.25" customHeight="1">
      <c r="A206" s="1" t="s">
        <v>151</v>
      </c>
      <c r="B206" s="3">
        <v>4.0</v>
      </c>
      <c r="C206" s="1" t="s">
        <v>7</v>
      </c>
      <c r="D206" s="1" t="s">
        <v>13</v>
      </c>
    </row>
    <row r="207" ht="14.25" customHeight="1">
      <c r="A207" s="1" t="s">
        <v>151</v>
      </c>
      <c r="B207" s="3">
        <v>4.0</v>
      </c>
      <c r="C207" s="1" t="s">
        <v>5</v>
      </c>
      <c r="D207" s="1" t="s">
        <v>152</v>
      </c>
    </row>
    <row r="208" ht="14.25" customHeight="1">
      <c r="A208" s="1" t="s">
        <v>151</v>
      </c>
      <c r="B208" s="3">
        <v>4.0</v>
      </c>
      <c r="C208" s="1" t="s">
        <v>6</v>
      </c>
      <c r="D208" s="1" t="s">
        <v>15</v>
      </c>
    </row>
    <row r="209" ht="14.25" customHeight="1">
      <c r="A209" s="1" t="s">
        <v>153</v>
      </c>
      <c r="B209" s="3">
        <v>4.0</v>
      </c>
      <c r="C209" s="1" t="s">
        <v>7</v>
      </c>
      <c r="D209" s="1" t="s">
        <v>13</v>
      </c>
    </row>
    <row r="210" ht="14.25" customHeight="1">
      <c r="A210" s="1" t="s">
        <v>153</v>
      </c>
      <c r="B210" s="3">
        <v>4.0</v>
      </c>
      <c r="C210" s="1" t="s">
        <v>5</v>
      </c>
      <c r="D210" s="1" t="s">
        <v>154</v>
      </c>
    </row>
    <row r="211" ht="14.25" customHeight="1">
      <c r="A211" s="1" t="s">
        <v>153</v>
      </c>
      <c r="B211" s="3">
        <v>4.0</v>
      </c>
      <c r="C211" s="1" t="s">
        <v>6</v>
      </c>
      <c r="D211" s="1" t="s">
        <v>11</v>
      </c>
    </row>
    <row r="212" ht="14.25" customHeight="1">
      <c r="A212" s="1" t="s">
        <v>155</v>
      </c>
      <c r="B212" s="3">
        <v>4.0</v>
      </c>
      <c r="C212" s="1" t="s">
        <v>7</v>
      </c>
      <c r="D212" s="1" t="s">
        <v>9</v>
      </c>
    </row>
    <row r="213" ht="14.25" customHeight="1">
      <c r="A213" s="1" t="s">
        <v>155</v>
      </c>
      <c r="B213" s="3">
        <v>4.0</v>
      </c>
      <c r="C213" s="1" t="s">
        <v>5</v>
      </c>
      <c r="D213" s="1" t="s">
        <v>156</v>
      </c>
    </row>
    <row r="214" ht="14.25" customHeight="1">
      <c r="A214" s="1" t="s">
        <v>155</v>
      </c>
      <c r="B214" s="3">
        <v>4.0</v>
      </c>
      <c r="C214" s="1" t="s">
        <v>6</v>
      </c>
      <c r="D214" s="1" t="s">
        <v>15</v>
      </c>
    </row>
    <row r="215" ht="14.25" customHeight="1">
      <c r="A215" s="1" t="s">
        <v>157</v>
      </c>
      <c r="B215" s="3">
        <v>4.0</v>
      </c>
      <c r="C215" s="1" t="s">
        <v>7</v>
      </c>
      <c r="D215" s="1" t="s">
        <v>13</v>
      </c>
    </row>
    <row r="216" ht="14.25" customHeight="1">
      <c r="A216" s="1" t="s">
        <v>157</v>
      </c>
      <c r="B216" s="3">
        <v>4.0</v>
      </c>
      <c r="C216" s="1" t="s">
        <v>5</v>
      </c>
      <c r="D216" s="1" t="s">
        <v>158</v>
      </c>
    </row>
    <row r="217" ht="14.25" customHeight="1">
      <c r="A217" s="1" t="s">
        <v>157</v>
      </c>
      <c r="B217" s="3">
        <v>4.0</v>
      </c>
      <c r="C217" s="1" t="s">
        <v>6</v>
      </c>
      <c r="D217" s="1" t="s">
        <v>11</v>
      </c>
    </row>
    <row r="218" ht="14.25" customHeight="1">
      <c r="A218" s="1" t="s">
        <v>159</v>
      </c>
      <c r="B218" s="3">
        <v>4.0</v>
      </c>
      <c r="C218" s="1" t="s">
        <v>7</v>
      </c>
      <c r="D218" s="1" t="s">
        <v>13</v>
      </c>
    </row>
    <row r="219" ht="14.25" customHeight="1">
      <c r="A219" s="1" t="s">
        <v>159</v>
      </c>
      <c r="B219" s="3">
        <v>4.0</v>
      </c>
      <c r="C219" s="1" t="s">
        <v>5</v>
      </c>
      <c r="D219" s="1" t="s">
        <v>160</v>
      </c>
    </row>
    <row r="220" ht="14.25" customHeight="1">
      <c r="A220" s="1" t="s">
        <v>159</v>
      </c>
      <c r="B220" s="3">
        <v>4.0</v>
      </c>
      <c r="C220" s="1" t="s">
        <v>6</v>
      </c>
      <c r="D220" s="1" t="s">
        <v>15</v>
      </c>
    </row>
    <row r="221" ht="14.25" customHeight="1">
      <c r="A221" s="1" t="s">
        <v>161</v>
      </c>
      <c r="B221" s="3">
        <v>5.0</v>
      </c>
      <c r="C221" s="1" t="s">
        <v>7</v>
      </c>
      <c r="D221" s="1" t="s">
        <v>19</v>
      </c>
    </row>
    <row r="222" ht="14.25" customHeight="1">
      <c r="A222" s="1" t="s">
        <v>161</v>
      </c>
      <c r="B222" s="3">
        <v>5.0</v>
      </c>
      <c r="C222" s="1" t="s">
        <v>5</v>
      </c>
      <c r="D222" s="1" t="s">
        <v>162</v>
      </c>
    </row>
    <row r="223" ht="14.25" customHeight="1">
      <c r="A223" s="1" t="s">
        <v>161</v>
      </c>
      <c r="B223" s="3">
        <v>5.0</v>
      </c>
      <c r="C223" s="1" t="s">
        <v>6</v>
      </c>
      <c r="D223" s="1" t="s">
        <v>11</v>
      </c>
    </row>
    <row r="224" ht="14.25" customHeight="1">
      <c r="A224" s="1" t="s">
        <v>163</v>
      </c>
      <c r="B224" s="3">
        <v>5.0</v>
      </c>
      <c r="C224" s="1" t="s">
        <v>7</v>
      </c>
      <c r="D224" s="1" t="s">
        <v>9</v>
      </c>
    </row>
    <row r="225" ht="14.25" customHeight="1">
      <c r="A225" s="1" t="s">
        <v>163</v>
      </c>
      <c r="B225" s="3">
        <v>5.0</v>
      </c>
      <c r="C225" s="1" t="s">
        <v>5</v>
      </c>
      <c r="D225" s="1" t="s">
        <v>164</v>
      </c>
    </row>
    <row r="226" ht="14.25" customHeight="1">
      <c r="A226" s="1" t="s">
        <v>163</v>
      </c>
      <c r="B226" s="3">
        <v>5.0</v>
      </c>
      <c r="C226" s="1" t="s">
        <v>6</v>
      </c>
      <c r="D226" s="1" t="s">
        <v>21</v>
      </c>
    </row>
    <row r="227" ht="14.25" customHeight="1">
      <c r="A227" s="1" t="s">
        <v>165</v>
      </c>
      <c r="B227" s="3">
        <v>5.0</v>
      </c>
      <c r="C227" s="1" t="s">
        <v>7</v>
      </c>
      <c r="D227" s="1" t="s">
        <v>9</v>
      </c>
    </row>
    <row r="228" ht="14.25" customHeight="1">
      <c r="A228" s="1" t="s">
        <v>165</v>
      </c>
      <c r="B228" s="3">
        <v>5.0</v>
      </c>
      <c r="C228" s="1" t="s">
        <v>5</v>
      </c>
      <c r="D228" s="1" t="s">
        <v>166</v>
      </c>
    </row>
    <row r="229" ht="14.25" customHeight="1">
      <c r="A229" s="1" t="s">
        <v>165</v>
      </c>
      <c r="B229" s="3">
        <v>5.0</v>
      </c>
      <c r="C229" s="1" t="s">
        <v>6</v>
      </c>
      <c r="D229" s="1" t="s">
        <v>21</v>
      </c>
    </row>
    <row r="230" ht="14.25" customHeight="1">
      <c r="A230" s="1" t="s">
        <v>167</v>
      </c>
      <c r="B230" s="3">
        <v>5.0</v>
      </c>
      <c r="C230" s="1" t="s">
        <v>7</v>
      </c>
      <c r="D230" s="1" t="s">
        <v>13</v>
      </c>
    </row>
    <row r="231" ht="14.25" customHeight="1">
      <c r="A231" s="1" t="s">
        <v>167</v>
      </c>
      <c r="B231" s="3">
        <v>5.0</v>
      </c>
      <c r="C231" s="1" t="s">
        <v>5</v>
      </c>
      <c r="D231" s="1" t="s">
        <v>168</v>
      </c>
    </row>
    <row r="232" ht="14.25" customHeight="1">
      <c r="A232" s="1" t="s">
        <v>167</v>
      </c>
      <c r="B232" s="3">
        <v>5.0</v>
      </c>
      <c r="C232" s="1" t="s">
        <v>6</v>
      </c>
      <c r="D232" s="1" t="s">
        <v>15</v>
      </c>
    </row>
    <row r="233" ht="14.25" customHeight="1">
      <c r="A233" s="1" t="s">
        <v>169</v>
      </c>
      <c r="B233" s="3">
        <v>5.0</v>
      </c>
      <c r="C233" s="1" t="s">
        <v>7</v>
      </c>
      <c r="D233" s="1" t="s">
        <v>9</v>
      </c>
    </row>
    <row r="234" ht="14.25" customHeight="1">
      <c r="A234" s="1" t="s">
        <v>169</v>
      </c>
      <c r="B234" s="3">
        <v>5.0</v>
      </c>
      <c r="C234" s="1" t="s">
        <v>5</v>
      </c>
      <c r="D234" s="1" t="s">
        <v>170</v>
      </c>
    </row>
    <row r="235" ht="14.25" customHeight="1">
      <c r="A235" s="1" t="s">
        <v>169</v>
      </c>
      <c r="B235" s="3">
        <v>5.0</v>
      </c>
      <c r="C235" s="1" t="s">
        <v>6</v>
      </c>
      <c r="D235" s="1" t="s">
        <v>21</v>
      </c>
    </row>
    <row r="236" ht="14.25" customHeight="1">
      <c r="A236" s="1" t="s">
        <v>171</v>
      </c>
      <c r="B236" s="3">
        <v>6.0</v>
      </c>
      <c r="C236" s="1" t="s">
        <v>7</v>
      </c>
      <c r="D236" s="1" t="s">
        <v>25</v>
      </c>
    </row>
    <row r="237" ht="14.25" customHeight="1">
      <c r="A237" s="1" t="s">
        <v>171</v>
      </c>
      <c r="B237" s="3">
        <v>6.0</v>
      </c>
      <c r="C237" s="1" t="s">
        <v>5</v>
      </c>
      <c r="D237" s="1" t="s">
        <v>172</v>
      </c>
    </row>
    <row r="238" ht="14.25" customHeight="1">
      <c r="A238" s="1" t="s">
        <v>171</v>
      </c>
      <c r="B238" s="3">
        <v>6.0</v>
      </c>
      <c r="C238" s="1" t="s">
        <v>6</v>
      </c>
      <c r="D238" s="1" t="s">
        <v>21</v>
      </c>
    </row>
    <row r="239" ht="14.25" customHeight="1">
      <c r="A239" s="1" t="s">
        <v>173</v>
      </c>
      <c r="B239" s="3">
        <v>6.0</v>
      </c>
      <c r="C239" s="1" t="s">
        <v>7</v>
      </c>
      <c r="D239" s="1" t="s">
        <v>19</v>
      </c>
    </row>
    <row r="240" ht="14.25" customHeight="1">
      <c r="A240" s="1" t="s">
        <v>173</v>
      </c>
      <c r="B240" s="3">
        <v>6.0</v>
      </c>
      <c r="C240" s="1" t="s">
        <v>5</v>
      </c>
      <c r="D240" s="1" t="s">
        <v>174</v>
      </c>
    </row>
    <row r="241" ht="14.25" customHeight="1">
      <c r="A241" s="1" t="s">
        <v>173</v>
      </c>
      <c r="B241" s="3">
        <v>6.0</v>
      </c>
      <c r="C241" s="1" t="s">
        <v>6</v>
      </c>
      <c r="D241" s="1" t="s">
        <v>15</v>
      </c>
    </row>
    <row r="242" ht="14.25" customHeight="1">
      <c r="A242" s="1" t="s">
        <v>175</v>
      </c>
      <c r="B242" s="3">
        <v>8.0</v>
      </c>
      <c r="C242" s="1" t="s">
        <v>7</v>
      </c>
      <c r="D242" s="1" t="s">
        <v>19</v>
      </c>
    </row>
    <row r="243" ht="14.25" customHeight="1">
      <c r="A243" s="1" t="s">
        <v>175</v>
      </c>
      <c r="B243" s="3">
        <v>8.0</v>
      </c>
      <c r="C243" s="1" t="s">
        <v>5</v>
      </c>
      <c r="D243" s="1" t="s">
        <v>176</v>
      </c>
    </row>
    <row r="244" ht="14.25" customHeight="1">
      <c r="A244" s="1" t="s">
        <v>175</v>
      </c>
      <c r="B244" s="3">
        <v>8.0</v>
      </c>
      <c r="C244" s="1" t="s">
        <v>6</v>
      </c>
      <c r="D244" s="1" t="s">
        <v>21</v>
      </c>
    </row>
    <row r="245" ht="14.25" customHeight="1">
      <c r="A245" s="1" t="s">
        <v>177</v>
      </c>
      <c r="B245" s="3">
        <v>9.0</v>
      </c>
      <c r="C245" s="1" t="s">
        <v>7</v>
      </c>
      <c r="D245" s="1" t="s">
        <v>13</v>
      </c>
    </row>
    <row r="246" ht="14.25" customHeight="1">
      <c r="A246" s="1" t="s">
        <v>177</v>
      </c>
      <c r="B246" s="3">
        <v>9.0</v>
      </c>
      <c r="C246" s="1" t="s">
        <v>5</v>
      </c>
      <c r="D246" s="1" t="s">
        <v>178</v>
      </c>
    </row>
    <row r="247" ht="14.25" customHeight="1">
      <c r="A247" s="1" t="s">
        <v>177</v>
      </c>
      <c r="B247" s="3">
        <v>9.0</v>
      </c>
      <c r="C247" s="1" t="s">
        <v>6</v>
      </c>
      <c r="D247" s="1" t="s">
        <v>15</v>
      </c>
    </row>
    <row r="248" ht="14.25" customHeight="1">
      <c r="A248" s="1" t="s">
        <v>179</v>
      </c>
      <c r="B248" s="3">
        <v>9.0</v>
      </c>
      <c r="C248" s="1" t="s">
        <v>7</v>
      </c>
      <c r="D248" s="1" t="s">
        <v>9</v>
      </c>
    </row>
    <row r="249" ht="14.25" customHeight="1">
      <c r="A249" s="1" t="s">
        <v>179</v>
      </c>
      <c r="B249" s="3">
        <v>9.0</v>
      </c>
      <c r="C249" s="1" t="s">
        <v>5</v>
      </c>
      <c r="D249" s="1" t="s">
        <v>180</v>
      </c>
    </row>
    <row r="250" ht="14.25" customHeight="1">
      <c r="A250" s="1" t="s">
        <v>179</v>
      </c>
      <c r="B250" s="3">
        <v>9.0</v>
      </c>
      <c r="C250" s="1" t="s">
        <v>6</v>
      </c>
      <c r="D250" s="1" t="s">
        <v>21</v>
      </c>
    </row>
    <row r="251" ht="14.25" customHeight="1">
      <c r="B251" s="3"/>
    </row>
    <row r="252" ht="14.25" customHeight="1">
      <c r="B252" s="3"/>
    </row>
    <row r="253" ht="14.25" customHeight="1">
      <c r="B253" s="3"/>
    </row>
    <row r="254" ht="14.25" customHeight="1">
      <c r="B254" s="3"/>
    </row>
    <row r="255" ht="14.25" customHeight="1">
      <c r="B255" s="3"/>
    </row>
    <row r="256" ht="14.25" customHeight="1">
      <c r="B256" s="3"/>
    </row>
    <row r="257" ht="14.25" customHeight="1">
      <c r="B257" s="3"/>
    </row>
    <row r="258" ht="14.25" customHeight="1">
      <c r="B258" s="3"/>
    </row>
    <row r="259" ht="14.25" customHeight="1">
      <c r="B259" s="3"/>
    </row>
    <row r="260" ht="14.25" customHeight="1">
      <c r="B260" s="3"/>
    </row>
    <row r="261" ht="14.25" customHeight="1">
      <c r="B261" s="3"/>
    </row>
    <row r="262" ht="14.25" customHeight="1">
      <c r="B262" s="3"/>
    </row>
    <row r="263" ht="14.25" customHeight="1">
      <c r="B263" s="3"/>
    </row>
    <row r="264" ht="14.25" customHeight="1">
      <c r="B264" s="3"/>
    </row>
    <row r="265" ht="14.25" customHeight="1">
      <c r="B265" s="3"/>
    </row>
    <row r="266" ht="14.25" customHeight="1">
      <c r="B266" s="3"/>
    </row>
    <row r="267" ht="14.25" customHeight="1">
      <c r="B267" s="3"/>
    </row>
    <row r="268" ht="14.25" customHeight="1">
      <c r="B268" s="3"/>
    </row>
    <row r="269" ht="14.25" customHeight="1">
      <c r="B269" s="3"/>
    </row>
    <row r="270" ht="14.25" customHeight="1">
      <c r="B270" s="3"/>
    </row>
    <row r="271" ht="14.25" customHeight="1">
      <c r="B271" s="3"/>
    </row>
    <row r="272" ht="14.25" customHeight="1">
      <c r="B272" s="3"/>
    </row>
    <row r="273" ht="14.25" customHeight="1">
      <c r="B273" s="3"/>
    </row>
    <row r="274" ht="14.25" customHeight="1">
      <c r="B274" s="3"/>
    </row>
    <row r="275" ht="14.25" customHeight="1">
      <c r="B275" s="3"/>
    </row>
    <row r="276" ht="14.25" customHeight="1">
      <c r="B276" s="3"/>
    </row>
    <row r="277" ht="14.25" customHeight="1">
      <c r="B277" s="3"/>
    </row>
    <row r="278" ht="14.25" customHeight="1">
      <c r="B278" s="3"/>
    </row>
    <row r="279" ht="14.25" customHeight="1">
      <c r="B279" s="3"/>
    </row>
    <row r="280" ht="14.25" customHeight="1">
      <c r="B280" s="3"/>
    </row>
    <row r="281" ht="14.25" customHeight="1">
      <c r="B281" s="3"/>
    </row>
    <row r="282" ht="14.25" customHeight="1">
      <c r="B282" s="3"/>
    </row>
    <row r="283" ht="14.25" customHeight="1">
      <c r="B283" s="3"/>
    </row>
    <row r="284" ht="14.25" customHeight="1">
      <c r="B284" s="3"/>
    </row>
    <row r="285" ht="14.25" customHeight="1">
      <c r="B285" s="3"/>
    </row>
    <row r="286" ht="14.25" customHeight="1">
      <c r="B286" s="3"/>
    </row>
    <row r="287" ht="14.25" customHeight="1">
      <c r="B287" s="3"/>
    </row>
    <row r="288" ht="14.25" customHeight="1">
      <c r="B288" s="3"/>
    </row>
    <row r="289" ht="14.25" customHeight="1">
      <c r="B289" s="3"/>
    </row>
    <row r="290" ht="14.25" customHeight="1">
      <c r="B290" s="3"/>
    </row>
    <row r="291" ht="14.25" customHeight="1">
      <c r="B291" s="3"/>
    </row>
    <row r="292" ht="14.25" customHeight="1">
      <c r="B292" s="3"/>
    </row>
    <row r="293" ht="14.25" customHeight="1">
      <c r="B293" s="3"/>
    </row>
    <row r="294" ht="14.25" customHeight="1">
      <c r="B294" s="3"/>
    </row>
    <row r="295" ht="14.25" customHeight="1">
      <c r="B295" s="3"/>
    </row>
    <row r="296" ht="14.25" customHeight="1">
      <c r="B296" s="3"/>
    </row>
    <row r="297" ht="14.25" customHeight="1">
      <c r="B297" s="3"/>
    </row>
    <row r="298" ht="14.25" customHeight="1">
      <c r="B298" s="3"/>
    </row>
    <row r="299" ht="14.25" customHeight="1">
      <c r="B299" s="3"/>
    </row>
    <row r="300" ht="14.25" customHeight="1">
      <c r="B300" s="3"/>
    </row>
    <row r="301" ht="14.25" customHeight="1">
      <c r="B301" s="3"/>
    </row>
    <row r="302" ht="14.25" customHeight="1">
      <c r="B302" s="3"/>
    </row>
    <row r="303" ht="14.25" customHeight="1">
      <c r="B303" s="3"/>
    </row>
    <row r="304" ht="14.25" customHeight="1">
      <c r="B304" s="3"/>
    </row>
    <row r="305" ht="14.25" customHeight="1">
      <c r="B305" s="3"/>
    </row>
    <row r="306" ht="14.25" customHeight="1">
      <c r="B306" s="3"/>
    </row>
    <row r="307" ht="14.25" customHeight="1">
      <c r="B307" s="3"/>
    </row>
    <row r="308" ht="14.25" customHeight="1">
      <c r="B308" s="3"/>
    </row>
    <row r="309" ht="14.25" customHeight="1">
      <c r="B309" s="3"/>
    </row>
    <row r="310" ht="14.25" customHeight="1">
      <c r="B310" s="3"/>
    </row>
    <row r="311" ht="14.25" customHeight="1">
      <c r="B311" s="3"/>
    </row>
    <row r="312" ht="14.25" customHeight="1">
      <c r="B312" s="3"/>
    </row>
    <row r="313" ht="14.25" customHeight="1">
      <c r="B313" s="3"/>
    </row>
    <row r="314" ht="14.25" customHeight="1">
      <c r="B314" s="3"/>
    </row>
    <row r="315" ht="14.25" customHeight="1">
      <c r="B315" s="3"/>
    </row>
    <row r="316" ht="14.25" customHeight="1">
      <c r="B316" s="3"/>
    </row>
    <row r="317" ht="14.25" customHeight="1">
      <c r="B317" s="3"/>
    </row>
    <row r="318" ht="14.25" customHeight="1">
      <c r="B318" s="3"/>
    </row>
    <row r="319" ht="14.25" customHeight="1">
      <c r="B319" s="3"/>
    </row>
    <row r="320" ht="14.25" customHeight="1">
      <c r="B320" s="3"/>
    </row>
    <row r="321" ht="14.25" customHeight="1">
      <c r="B321" s="3"/>
    </row>
    <row r="322" ht="14.25" customHeight="1">
      <c r="B322" s="3"/>
    </row>
    <row r="323" ht="14.25" customHeight="1">
      <c r="B323" s="3"/>
    </row>
    <row r="324" ht="14.25" customHeight="1">
      <c r="B324" s="3"/>
    </row>
    <row r="325" ht="14.25" customHeight="1">
      <c r="B325" s="3"/>
    </row>
    <row r="326" ht="14.25" customHeight="1">
      <c r="B326" s="3"/>
    </row>
    <row r="327" ht="14.25" customHeight="1">
      <c r="B327" s="3"/>
    </row>
    <row r="328" ht="14.25" customHeight="1">
      <c r="B328" s="3"/>
    </row>
    <row r="329" ht="14.25" customHeight="1">
      <c r="B329" s="3"/>
    </row>
    <row r="330" ht="14.25" customHeight="1">
      <c r="B330" s="3"/>
    </row>
    <row r="331" ht="14.25" customHeight="1">
      <c r="B331" s="3"/>
    </row>
    <row r="332" ht="14.25" customHeight="1">
      <c r="B332" s="3"/>
    </row>
    <row r="333" ht="14.25" customHeight="1">
      <c r="B333" s="3"/>
    </row>
    <row r="334" ht="14.25" customHeight="1">
      <c r="B334" s="3"/>
    </row>
    <row r="335" ht="14.25" customHeight="1">
      <c r="B335" s="3"/>
    </row>
    <row r="336" ht="14.25" customHeight="1">
      <c r="B336" s="3"/>
    </row>
    <row r="337" ht="14.25" customHeight="1">
      <c r="B337" s="3"/>
    </row>
    <row r="338" ht="14.25" customHeight="1">
      <c r="B338" s="3"/>
    </row>
    <row r="339" ht="14.25" customHeight="1">
      <c r="B339" s="3"/>
    </row>
    <row r="340" ht="14.25" customHeight="1">
      <c r="B340" s="3"/>
    </row>
    <row r="341" ht="14.25" customHeight="1">
      <c r="B341" s="3"/>
    </row>
    <row r="342" ht="14.25" customHeight="1">
      <c r="B342" s="3"/>
    </row>
    <row r="343" ht="14.25" customHeight="1">
      <c r="B343" s="3"/>
    </row>
    <row r="344" ht="14.25" customHeight="1">
      <c r="B344" s="3"/>
    </row>
    <row r="345" ht="14.25" customHeight="1">
      <c r="B345" s="3"/>
    </row>
    <row r="346" ht="14.25" customHeight="1">
      <c r="B346" s="3"/>
    </row>
    <row r="347" ht="14.25" customHeight="1">
      <c r="B347" s="3"/>
    </row>
    <row r="348" ht="14.25" customHeight="1">
      <c r="B348" s="3"/>
    </row>
    <row r="349" ht="14.25" customHeight="1">
      <c r="B349" s="3"/>
    </row>
    <row r="350" ht="14.25" customHeight="1">
      <c r="B350" s="3"/>
    </row>
    <row r="351" ht="14.25" customHeight="1">
      <c r="B351" s="3"/>
    </row>
    <row r="352" ht="14.25" customHeight="1">
      <c r="B352" s="3"/>
    </row>
    <row r="353" ht="14.25" customHeight="1">
      <c r="B353" s="3"/>
    </row>
    <row r="354" ht="14.25" customHeight="1">
      <c r="B354" s="3"/>
    </row>
    <row r="355" ht="14.25" customHeight="1">
      <c r="B355" s="3"/>
    </row>
    <row r="356" ht="14.25" customHeight="1">
      <c r="B356" s="3"/>
    </row>
    <row r="357" ht="14.25" customHeight="1">
      <c r="B357" s="3"/>
    </row>
    <row r="358" ht="14.25" customHeight="1">
      <c r="B358" s="3"/>
    </row>
    <row r="359" ht="14.25" customHeight="1">
      <c r="B359" s="3"/>
    </row>
    <row r="360" ht="14.25" customHeight="1">
      <c r="B360" s="3"/>
    </row>
    <row r="361" ht="14.25" customHeight="1">
      <c r="B361" s="3"/>
    </row>
    <row r="362" ht="14.25" customHeight="1">
      <c r="B362" s="3"/>
    </row>
    <row r="363" ht="14.25" customHeight="1">
      <c r="B363" s="3"/>
    </row>
    <row r="364" ht="14.25" customHeight="1">
      <c r="B364" s="3"/>
    </row>
    <row r="365" ht="14.25" customHeight="1">
      <c r="B365" s="3"/>
    </row>
    <row r="366" ht="14.25" customHeight="1">
      <c r="B366" s="3"/>
    </row>
    <row r="367" ht="14.25" customHeight="1">
      <c r="B367" s="3"/>
    </row>
    <row r="368" ht="14.25" customHeight="1">
      <c r="B368" s="3"/>
    </row>
    <row r="369" ht="14.25" customHeight="1">
      <c r="B369" s="3"/>
    </row>
    <row r="370" ht="14.25" customHeight="1">
      <c r="B370" s="3"/>
    </row>
    <row r="371" ht="14.25" customHeight="1">
      <c r="B371" s="3"/>
    </row>
    <row r="372" ht="14.25" customHeight="1">
      <c r="B372" s="3"/>
    </row>
    <row r="373" ht="14.25" customHeight="1">
      <c r="B373" s="3"/>
    </row>
    <row r="374" ht="14.25" customHeight="1">
      <c r="B374" s="3"/>
    </row>
    <row r="375" ht="14.25" customHeight="1">
      <c r="B375" s="3"/>
    </row>
    <row r="376" ht="14.25" customHeight="1">
      <c r="B376" s="3"/>
    </row>
    <row r="377" ht="14.25" customHeight="1">
      <c r="B377" s="3"/>
    </row>
    <row r="378" ht="14.25" customHeight="1">
      <c r="B378" s="3"/>
    </row>
    <row r="379" ht="14.25" customHeight="1">
      <c r="B379" s="3"/>
    </row>
    <row r="380" ht="14.25" customHeight="1">
      <c r="B380" s="3"/>
    </row>
    <row r="381" ht="14.25" customHeight="1">
      <c r="B381" s="3"/>
    </row>
    <row r="382" ht="14.25" customHeight="1">
      <c r="B382" s="3"/>
    </row>
    <row r="383" ht="14.25" customHeight="1">
      <c r="B383" s="3"/>
    </row>
    <row r="384" ht="14.25" customHeight="1">
      <c r="B384" s="3"/>
    </row>
    <row r="385" ht="14.25" customHeight="1">
      <c r="B385" s="3"/>
    </row>
    <row r="386" ht="14.25" customHeight="1">
      <c r="B386" s="3"/>
    </row>
    <row r="387" ht="14.25" customHeight="1">
      <c r="B387" s="3"/>
    </row>
    <row r="388" ht="14.25" customHeight="1">
      <c r="B388" s="3"/>
    </row>
    <row r="389" ht="14.25" customHeight="1">
      <c r="B389" s="3"/>
    </row>
    <row r="390" ht="14.25" customHeight="1">
      <c r="B390" s="3"/>
    </row>
    <row r="391" ht="14.25" customHeight="1">
      <c r="B391" s="3"/>
    </row>
    <row r="392" ht="14.25" customHeight="1">
      <c r="B392" s="3"/>
    </row>
    <row r="393" ht="14.25" customHeight="1">
      <c r="B393" s="3"/>
    </row>
    <row r="394" ht="14.25" customHeight="1">
      <c r="B394" s="3"/>
    </row>
    <row r="395" ht="14.25" customHeight="1">
      <c r="B395" s="3"/>
    </row>
    <row r="396" ht="14.25" customHeight="1">
      <c r="B396" s="3"/>
    </row>
    <row r="397" ht="14.25" customHeight="1">
      <c r="B397" s="3"/>
    </row>
    <row r="398" ht="14.25" customHeight="1">
      <c r="B398" s="3"/>
    </row>
    <row r="399" ht="14.25" customHeight="1">
      <c r="B399" s="3"/>
    </row>
    <row r="400" ht="14.25" customHeight="1">
      <c r="B400" s="3"/>
    </row>
    <row r="401" ht="14.25" customHeight="1">
      <c r="B401" s="3"/>
    </row>
    <row r="402" ht="14.25" customHeight="1">
      <c r="B402" s="3"/>
    </row>
    <row r="403" ht="14.25" customHeight="1">
      <c r="B403" s="3"/>
    </row>
    <row r="404" ht="14.25" customHeight="1">
      <c r="B404" s="3"/>
    </row>
    <row r="405" ht="14.25" customHeight="1">
      <c r="B405" s="3"/>
    </row>
    <row r="406" ht="14.25" customHeight="1">
      <c r="B406" s="3"/>
    </row>
    <row r="407" ht="14.25" customHeight="1">
      <c r="B407" s="3"/>
    </row>
    <row r="408" ht="14.25" customHeight="1">
      <c r="B408" s="3"/>
    </row>
    <row r="409" ht="14.25" customHeight="1">
      <c r="B409" s="3"/>
    </row>
    <row r="410" ht="14.25" customHeight="1">
      <c r="B410" s="3"/>
    </row>
    <row r="411" ht="14.25" customHeight="1">
      <c r="B411" s="3"/>
    </row>
    <row r="412" ht="14.25" customHeight="1">
      <c r="B412" s="3"/>
    </row>
    <row r="413" ht="14.25" customHeight="1">
      <c r="B413" s="3"/>
    </row>
    <row r="414" ht="14.25" customHeight="1">
      <c r="B414" s="3"/>
    </row>
    <row r="415" ht="14.25" customHeight="1">
      <c r="B415" s="3"/>
    </row>
    <row r="416" ht="14.25" customHeight="1">
      <c r="B416" s="3"/>
    </row>
    <row r="417" ht="14.25" customHeight="1">
      <c r="B417" s="3"/>
    </row>
    <row r="418" ht="14.25" customHeight="1">
      <c r="B418" s="3"/>
    </row>
    <row r="419" ht="14.25" customHeight="1">
      <c r="B419" s="3"/>
    </row>
    <row r="420" ht="14.25" customHeight="1">
      <c r="B420" s="3"/>
    </row>
    <row r="421" ht="14.25" customHeight="1">
      <c r="B421" s="3"/>
    </row>
    <row r="422" ht="14.25" customHeight="1">
      <c r="B422" s="3"/>
    </row>
    <row r="423" ht="14.25" customHeight="1">
      <c r="B423" s="3"/>
    </row>
    <row r="424" ht="14.25" customHeight="1">
      <c r="B424" s="3"/>
    </row>
    <row r="425" ht="14.25" customHeight="1">
      <c r="B425" s="3"/>
    </row>
    <row r="426" ht="14.25" customHeight="1">
      <c r="B426" s="3"/>
    </row>
    <row r="427" ht="14.25" customHeight="1">
      <c r="B427" s="3"/>
    </row>
    <row r="428" ht="14.25" customHeight="1">
      <c r="B428" s="3"/>
    </row>
    <row r="429" ht="14.25" customHeight="1">
      <c r="B429" s="3"/>
    </row>
    <row r="430" ht="14.25" customHeight="1">
      <c r="B430" s="3"/>
    </row>
    <row r="431" ht="14.25" customHeight="1">
      <c r="B431" s="3"/>
    </row>
    <row r="432" ht="14.25" customHeight="1">
      <c r="B432" s="3"/>
    </row>
    <row r="433" ht="14.25" customHeight="1">
      <c r="B433" s="3"/>
    </row>
    <row r="434" ht="14.25" customHeight="1">
      <c r="B434" s="3"/>
    </row>
    <row r="435" ht="14.25" customHeight="1">
      <c r="B435" s="3"/>
    </row>
    <row r="436" ht="14.25" customHeight="1">
      <c r="B436" s="3"/>
    </row>
    <row r="437" ht="14.25" customHeight="1">
      <c r="B437" s="3"/>
    </row>
    <row r="438" ht="14.25" customHeight="1">
      <c r="B438" s="3"/>
    </row>
    <row r="439" ht="14.25" customHeight="1">
      <c r="B439" s="3"/>
    </row>
    <row r="440" ht="14.25" customHeight="1">
      <c r="B440" s="3"/>
    </row>
    <row r="441" ht="14.25" customHeight="1">
      <c r="B441" s="3"/>
    </row>
    <row r="442" ht="14.25" customHeight="1">
      <c r="B442" s="3"/>
    </row>
    <row r="443" ht="14.25" customHeight="1">
      <c r="B443" s="3"/>
    </row>
    <row r="444" ht="14.25" customHeight="1">
      <c r="B444" s="3"/>
    </row>
    <row r="445" ht="14.25" customHeight="1">
      <c r="B445" s="3"/>
    </row>
    <row r="446" ht="14.25" customHeight="1">
      <c r="B446" s="3"/>
    </row>
    <row r="447" ht="14.25" customHeight="1">
      <c r="B447" s="3"/>
    </row>
    <row r="448" ht="14.25" customHeight="1">
      <c r="B448" s="3"/>
    </row>
    <row r="449" ht="14.25" customHeight="1">
      <c r="B449" s="3"/>
    </row>
    <row r="450" ht="14.25" customHeight="1">
      <c r="B450" s="3"/>
    </row>
    <row r="451" ht="14.25" customHeight="1">
      <c r="B451" s="3"/>
    </row>
    <row r="452" ht="14.25" customHeight="1">
      <c r="B452" s="3"/>
    </row>
    <row r="453" ht="14.25" customHeight="1">
      <c r="B453" s="3"/>
    </row>
    <row r="454" ht="14.25" customHeight="1">
      <c r="B454" s="3"/>
    </row>
    <row r="455" ht="14.25" customHeight="1">
      <c r="B455" s="3"/>
    </row>
    <row r="456" ht="14.25" customHeight="1">
      <c r="B456" s="3"/>
    </row>
    <row r="457" ht="14.25" customHeight="1">
      <c r="B457" s="3"/>
    </row>
    <row r="458" ht="14.25" customHeight="1">
      <c r="B458" s="3"/>
    </row>
    <row r="459" ht="14.25" customHeight="1">
      <c r="B459" s="3"/>
    </row>
    <row r="460" ht="14.25" customHeight="1">
      <c r="B460" s="3"/>
    </row>
    <row r="461" ht="14.25" customHeight="1">
      <c r="B461" s="3"/>
    </row>
    <row r="462" ht="14.25" customHeight="1">
      <c r="B462" s="3"/>
    </row>
    <row r="463" ht="14.25" customHeight="1">
      <c r="B463" s="3"/>
    </row>
    <row r="464" ht="14.25" customHeight="1">
      <c r="B464" s="3"/>
    </row>
    <row r="465" ht="14.25" customHeight="1">
      <c r="B465" s="3"/>
    </row>
    <row r="466" ht="14.25" customHeight="1">
      <c r="B466" s="3"/>
    </row>
    <row r="467" ht="14.25" customHeight="1">
      <c r="B467" s="3"/>
    </row>
    <row r="468" ht="14.25" customHeight="1">
      <c r="B468" s="3"/>
    </row>
    <row r="469" ht="14.25" customHeight="1">
      <c r="B469" s="3"/>
    </row>
    <row r="470" ht="14.25" customHeight="1">
      <c r="B470" s="3"/>
    </row>
    <row r="471" ht="14.25" customHeight="1">
      <c r="B471" s="3"/>
    </row>
    <row r="472" ht="14.25" customHeight="1">
      <c r="B472" s="3"/>
    </row>
    <row r="473" ht="14.25" customHeight="1">
      <c r="B473" s="3"/>
    </row>
    <row r="474" ht="14.25" customHeight="1">
      <c r="B474" s="3"/>
    </row>
    <row r="475" ht="14.25" customHeight="1">
      <c r="B475" s="3"/>
    </row>
    <row r="476" ht="14.25" customHeight="1">
      <c r="B476" s="3"/>
    </row>
    <row r="477" ht="14.25" customHeight="1">
      <c r="B477" s="3"/>
    </row>
    <row r="478" ht="14.25" customHeight="1">
      <c r="B478" s="3"/>
    </row>
    <row r="479" ht="14.25" customHeight="1">
      <c r="B479" s="3"/>
    </row>
    <row r="480" ht="14.25" customHeight="1">
      <c r="B480" s="3"/>
    </row>
    <row r="481" ht="14.25" customHeight="1">
      <c r="B481" s="3"/>
    </row>
    <row r="482" ht="14.25" customHeight="1">
      <c r="B482" s="3"/>
    </row>
    <row r="483" ht="14.25" customHeight="1">
      <c r="B483" s="3"/>
    </row>
    <row r="484" ht="14.25" customHeight="1">
      <c r="B484" s="3"/>
    </row>
    <row r="485" ht="14.25" customHeight="1">
      <c r="B485" s="3"/>
    </row>
    <row r="486" ht="14.25" customHeight="1">
      <c r="B486" s="3"/>
    </row>
    <row r="487" ht="14.25" customHeight="1">
      <c r="B487" s="3"/>
    </row>
    <row r="488" ht="14.25" customHeight="1">
      <c r="B488" s="3"/>
    </row>
    <row r="489" ht="14.25" customHeight="1">
      <c r="B489" s="3"/>
    </row>
    <row r="490" ht="14.25" customHeight="1">
      <c r="B490" s="3"/>
    </row>
    <row r="491" ht="14.25" customHeight="1">
      <c r="B491" s="3"/>
    </row>
    <row r="492" ht="14.25" customHeight="1">
      <c r="B492" s="3"/>
    </row>
    <row r="493" ht="14.25" customHeight="1">
      <c r="B493" s="3"/>
    </row>
    <row r="494" ht="14.25" customHeight="1">
      <c r="B494" s="3"/>
    </row>
    <row r="495" ht="14.25" customHeight="1">
      <c r="B495" s="3"/>
    </row>
    <row r="496" ht="14.25" customHeight="1">
      <c r="B496" s="3"/>
    </row>
    <row r="497" ht="14.25" customHeight="1">
      <c r="B497" s="3"/>
    </row>
    <row r="498" ht="14.25" customHeight="1">
      <c r="B498" s="3"/>
    </row>
    <row r="499" ht="14.25" customHeight="1">
      <c r="B499" s="3"/>
    </row>
    <row r="500" ht="14.25" customHeight="1">
      <c r="B500" s="3"/>
    </row>
    <row r="501" ht="14.25" customHeight="1">
      <c r="B501" s="3"/>
    </row>
    <row r="502" ht="14.25" customHeight="1">
      <c r="B502" s="3"/>
    </row>
    <row r="503" ht="14.25" customHeight="1">
      <c r="B503" s="3"/>
    </row>
    <row r="504" ht="14.25" customHeight="1">
      <c r="B504" s="3"/>
    </row>
    <row r="505" ht="14.25" customHeight="1">
      <c r="B505" s="3"/>
    </row>
    <row r="506" ht="14.25" customHeight="1">
      <c r="B506" s="3"/>
    </row>
    <row r="507" ht="14.25" customHeight="1">
      <c r="B507" s="3"/>
    </row>
    <row r="508" ht="14.25" customHeight="1">
      <c r="B508" s="3"/>
    </row>
    <row r="509" ht="14.25" customHeight="1">
      <c r="B509" s="3"/>
    </row>
    <row r="510" ht="14.25" customHeight="1">
      <c r="B510" s="3"/>
    </row>
    <row r="511" ht="14.25" customHeight="1">
      <c r="B511" s="3"/>
    </row>
    <row r="512" ht="14.25" customHeight="1">
      <c r="B512" s="3"/>
    </row>
    <row r="513" ht="14.25" customHeight="1">
      <c r="B513" s="3"/>
    </row>
    <row r="514" ht="14.25" customHeight="1">
      <c r="B514" s="3"/>
    </row>
    <row r="515" ht="14.25" customHeight="1">
      <c r="B515" s="3"/>
    </row>
    <row r="516" ht="14.25" customHeight="1">
      <c r="B516" s="3"/>
    </row>
    <row r="517" ht="14.25" customHeight="1">
      <c r="B517" s="3"/>
    </row>
    <row r="518" ht="14.25" customHeight="1">
      <c r="B518" s="3"/>
    </row>
    <row r="519" ht="14.25" customHeight="1">
      <c r="B519" s="3"/>
    </row>
    <row r="520" ht="14.25" customHeight="1">
      <c r="B520" s="3"/>
    </row>
    <row r="521" ht="14.25" customHeight="1">
      <c r="B521" s="3"/>
    </row>
    <row r="522" ht="14.25" customHeight="1">
      <c r="B522" s="3"/>
    </row>
    <row r="523" ht="14.25" customHeight="1">
      <c r="B523" s="3"/>
    </row>
    <row r="524" ht="14.25" customHeight="1">
      <c r="B524" s="3"/>
    </row>
    <row r="525" ht="14.25" customHeight="1">
      <c r="B525" s="3"/>
    </row>
    <row r="526" ht="14.25" customHeight="1">
      <c r="B526" s="3"/>
    </row>
    <row r="527" ht="14.25" customHeight="1">
      <c r="B527" s="3"/>
    </row>
    <row r="528" ht="14.25" customHeight="1">
      <c r="B528" s="3"/>
    </row>
    <row r="529" ht="14.25" customHeight="1">
      <c r="B529" s="3"/>
    </row>
    <row r="530" ht="14.25" customHeight="1">
      <c r="B530" s="3"/>
    </row>
    <row r="531" ht="14.25" customHeight="1">
      <c r="B531" s="3"/>
    </row>
    <row r="532" ht="14.25" customHeight="1">
      <c r="B532" s="3"/>
    </row>
    <row r="533" ht="14.25" customHeight="1">
      <c r="B533" s="3"/>
    </row>
    <row r="534" ht="14.25" customHeight="1">
      <c r="B534" s="3"/>
    </row>
    <row r="535" ht="14.25" customHeight="1">
      <c r="B535" s="3"/>
    </row>
    <row r="536" ht="14.25" customHeight="1">
      <c r="B536" s="3"/>
    </row>
    <row r="537" ht="14.25" customHeight="1">
      <c r="B537" s="3"/>
    </row>
    <row r="538" ht="14.25" customHeight="1">
      <c r="B538" s="3"/>
    </row>
    <row r="539" ht="14.25" customHeight="1">
      <c r="B539" s="3"/>
    </row>
    <row r="540" ht="14.25" customHeight="1">
      <c r="B540" s="3"/>
    </row>
    <row r="541" ht="14.25" customHeight="1">
      <c r="B541" s="3"/>
    </row>
    <row r="542" ht="14.25" customHeight="1">
      <c r="B542" s="3"/>
    </row>
    <row r="543" ht="14.25" customHeight="1">
      <c r="B543" s="3"/>
    </row>
    <row r="544" ht="14.25" customHeight="1">
      <c r="B544" s="3"/>
    </row>
    <row r="545" ht="14.25" customHeight="1">
      <c r="B545" s="3"/>
    </row>
    <row r="546" ht="14.25" customHeight="1">
      <c r="B546" s="3"/>
    </row>
    <row r="547" ht="14.25" customHeight="1">
      <c r="B547" s="3"/>
    </row>
    <row r="548" ht="14.25" customHeight="1">
      <c r="B548" s="3"/>
    </row>
    <row r="549" ht="14.25" customHeight="1">
      <c r="B549" s="3"/>
    </row>
    <row r="550" ht="14.25" customHeight="1">
      <c r="B550" s="3"/>
    </row>
    <row r="551" ht="14.25" customHeight="1">
      <c r="B551" s="3"/>
    </row>
    <row r="552" ht="14.25" customHeight="1">
      <c r="B552" s="3"/>
    </row>
    <row r="553" ht="14.25" customHeight="1">
      <c r="B553" s="3"/>
    </row>
    <row r="554" ht="14.25" customHeight="1">
      <c r="B554" s="3"/>
    </row>
    <row r="555" ht="14.25" customHeight="1">
      <c r="B555" s="3"/>
    </row>
    <row r="556" ht="14.25" customHeight="1">
      <c r="B556" s="3"/>
    </row>
    <row r="557" ht="14.25" customHeight="1">
      <c r="B557" s="3"/>
    </row>
    <row r="558" ht="14.25" customHeight="1">
      <c r="B558" s="3"/>
    </row>
    <row r="559" ht="14.25" customHeight="1">
      <c r="B559" s="3"/>
    </row>
    <row r="560" ht="14.25" customHeight="1">
      <c r="B560" s="3"/>
    </row>
    <row r="561" ht="14.25" customHeight="1">
      <c r="B561" s="3"/>
    </row>
    <row r="562" ht="14.25" customHeight="1">
      <c r="B562" s="3"/>
    </row>
    <row r="563" ht="14.25" customHeight="1">
      <c r="B563" s="3"/>
    </row>
    <row r="564" ht="14.25" customHeight="1">
      <c r="B564" s="3"/>
    </row>
    <row r="565" ht="14.25" customHeight="1">
      <c r="B565" s="3"/>
    </row>
    <row r="566" ht="14.25" customHeight="1">
      <c r="B566" s="3"/>
    </row>
    <row r="567" ht="14.25" customHeight="1">
      <c r="B567" s="3"/>
    </row>
    <row r="568" ht="14.25" customHeight="1">
      <c r="B568" s="3"/>
    </row>
    <row r="569" ht="14.25" customHeight="1">
      <c r="B569" s="3"/>
    </row>
    <row r="570" ht="14.25" customHeight="1">
      <c r="B570" s="3"/>
    </row>
    <row r="571" ht="14.25" customHeight="1">
      <c r="B571" s="3"/>
    </row>
    <row r="572" ht="14.25" customHeight="1">
      <c r="B572" s="3"/>
    </row>
    <row r="573" ht="14.25" customHeight="1">
      <c r="B573" s="3"/>
    </row>
    <row r="574" ht="14.25" customHeight="1">
      <c r="B574" s="3"/>
    </row>
    <row r="575" ht="14.25" customHeight="1">
      <c r="B575" s="3"/>
    </row>
    <row r="576" ht="14.25" customHeight="1">
      <c r="B576" s="3"/>
    </row>
    <row r="577" ht="14.25" customHeight="1">
      <c r="B577" s="3"/>
    </row>
    <row r="578" ht="14.25" customHeight="1">
      <c r="B578" s="3"/>
    </row>
    <row r="579" ht="14.25" customHeight="1">
      <c r="B579" s="3"/>
    </row>
    <row r="580" ht="14.25" customHeight="1">
      <c r="B580" s="3"/>
    </row>
    <row r="581" ht="14.25" customHeight="1">
      <c r="B581" s="3"/>
    </row>
    <row r="582" ht="14.25" customHeight="1">
      <c r="B582" s="3"/>
    </row>
    <row r="583" ht="14.25" customHeight="1">
      <c r="B583" s="3"/>
    </row>
    <row r="584" ht="14.25" customHeight="1">
      <c r="B584" s="3"/>
    </row>
    <row r="585" ht="14.25" customHeight="1">
      <c r="B585" s="3"/>
    </row>
    <row r="586" ht="14.25" customHeight="1">
      <c r="B586" s="3"/>
    </row>
    <row r="587" ht="14.25" customHeight="1">
      <c r="B587" s="3"/>
    </row>
    <row r="588" ht="14.25" customHeight="1">
      <c r="B588" s="3"/>
    </row>
    <row r="589" ht="14.25" customHeight="1">
      <c r="B589" s="3"/>
    </row>
    <row r="590" ht="14.25" customHeight="1">
      <c r="B590" s="3"/>
    </row>
    <row r="591" ht="14.25" customHeight="1">
      <c r="B591" s="3"/>
    </row>
    <row r="592" ht="14.25" customHeight="1">
      <c r="B592" s="3"/>
    </row>
    <row r="593" ht="14.25" customHeight="1">
      <c r="B593" s="3"/>
    </row>
    <row r="594" ht="14.25" customHeight="1">
      <c r="B594" s="3"/>
    </row>
    <row r="595" ht="14.25" customHeight="1">
      <c r="B595" s="3"/>
    </row>
    <row r="596" ht="14.25" customHeight="1">
      <c r="B596" s="3"/>
    </row>
    <row r="597" ht="14.25" customHeight="1">
      <c r="B597" s="3"/>
    </row>
    <row r="598" ht="14.25" customHeight="1">
      <c r="B598" s="3"/>
    </row>
    <row r="599" ht="14.25" customHeight="1">
      <c r="B599" s="3"/>
    </row>
    <row r="600" ht="14.25" customHeight="1">
      <c r="B600" s="3"/>
    </row>
    <row r="601" ht="14.25" customHeight="1">
      <c r="B601" s="3"/>
    </row>
    <row r="602" ht="14.25" customHeight="1">
      <c r="B602" s="3"/>
    </row>
    <row r="603" ht="14.25" customHeight="1">
      <c r="B603" s="3"/>
    </row>
    <row r="604" ht="14.25" customHeight="1">
      <c r="B604" s="3"/>
    </row>
    <row r="605" ht="14.25" customHeight="1">
      <c r="B605" s="3"/>
    </row>
    <row r="606" ht="14.25" customHeight="1">
      <c r="B606" s="3"/>
    </row>
    <row r="607" ht="14.25" customHeight="1">
      <c r="B607" s="3"/>
    </row>
    <row r="608" ht="14.25" customHeight="1">
      <c r="B608" s="3"/>
    </row>
    <row r="609" ht="14.25" customHeight="1">
      <c r="B609" s="3"/>
    </row>
    <row r="610" ht="14.25" customHeight="1">
      <c r="B610" s="3"/>
    </row>
    <row r="611" ht="14.25" customHeight="1">
      <c r="B611" s="3"/>
    </row>
    <row r="612" ht="14.25" customHeight="1">
      <c r="B612" s="3"/>
    </row>
    <row r="613" ht="14.25" customHeight="1">
      <c r="B613" s="3"/>
    </row>
    <row r="614" ht="14.25" customHeight="1">
      <c r="B614" s="3"/>
    </row>
    <row r="615" ht="14.25" customHeight="1">
      <c r="B615" s="3"/>
    </row>
    <row r="616" ht="14.25" customHeight="1">
      <c r="B616" s="3"/>
    </row>
    <row r="617" ht="14.25" customHeight="1">
      <c r="B617" s="3"/>
    </row>
    <row r="618" ht="14.25" customHeight="1">
      <c r="B618" s="3"/>
    </row>
    <row r="619" ht="14.25" customHeight="1">
      <c r="B619" s="3"/>
    </row>
    <row r="620" ht="14.25" customHeight="1">
      <c r="B620" s="3"/>
    </row>
    <row r="621" ht="14.25" customHeight="1">
      <c r="B621" s="3"/>
    </row>
    <row r="622" ht="14.25" customHeight="1">
      <c r="B622" s="3"/>
    </row>
    <row r="623" ht="14.25" customHeight="1">
      <c r="B623" s="3"/>
    </row>
    <row r="624" ht="14.25" customHeight="1">
      <c r="B624" s="3"/>
    </row>
    <row r="625" ht="14.25" customHeight="1">
      <c r="B625" s="3"/>
    </row>
    <row r="626" ht="14.25" customHeight="1">
      <c r="B626" s="3"/>
    </row>
    <row r="627" ht="14.25" customHeight="1">
      <c r="B627" s="3"/>
    </row>
    <row r="628" ht="14.25" customHeight="1">
      <c r="B628" s="3"/>
    </row>
    <row r="629" ht="14.25" customHeight="1">
      <c r="B629" s="3"/>
    </row>
    <row r="630" ht="14.25" customHeight="1">
      <c r="B630" s="3"/>
    </row>
    <row r="631" ht="14.25" customHeight="1">
      <c r="B631" s="3"/>
    </row>
    <row r="632" ht="14.25" customHeight="1">
      <c r="B632" s="3"/>
    </row>
    <row r="633" ht="14.25" customHeight="1">
      <c r="B633" s="3"/>
    </row>
    <row r="634" ht="14.25" customHeight="1">
      <c r="B634" s="3"/>
    </row>
    <row r="635" ht="14.25" customHeight="1">
      <c r="B635" s="3"/>
    </row>
    <row r="636" ht="14.25" customHeight="1">
      <c r="B636" s="3"/>
    </row>
    <row r="637" ht="14.25" customHeight="1">
      <c r="B637" s="3"/>
    </row>
    <row r="638" ht="14.25" customHeight="1">
      <c r="B638" s="3"/>
    </row>
    <row r="639" ht="14.25" customHeight="1">
      <c r="B639" s="3"/>
    </row>
    <row r="640" ht="14.25" customHeight="1">
      <c r="B640" s="3"/>
    </row>
    <row r="641" ht="14.25" customHeight="1">
      <c r="B641" s="3"/>
    </row>
    <row r="642" ht="14.25" customHeight="1">
      <c r="B642" s="3"/>
    </row>
    <row r="643" ht="14.25" customHeight="1">
      <c r="B643" s="3"/>
    </row>
    <row r="644" ht="14.25" customHeight="1">
      <c r="B644" s="3"/>
    </row>
    <row r="645" ht="14.25" customHeight="1">
      <c r="B645" s="3"/>
    </row>
    <row r="646" ht="14.25" customHeight="1">
      <c r="B646" s="3"/>
    </row>
    <row r="647" ht="14.25" customHeight="1">
      <c r="B647" s="3"/>
    </row>
    <row r="648" ht="14.25" customHeight="1">
      <c r="B648" s="3"/>
    </row>
    <row r="649" ht="14.25" customHeight="1">
      <c r="B649" s="3"/>
    </row>
    <row r="650" ht="14.25" customHeight="1">
      <c r="B650" s="3"/>
    </row>
    <row r="651" ht="14.25" customHeight="1">
      <c r="B651" s="3"/>
    </row>
    <row r="652" ht="14.25" customHeight="1">
      <c r="B652" s="3"/>
    </row>
    <row r="653" ht="14.25" customHeight="1">
      <c r="B653" s="3"/>
    </row>
    <row r="654" ht="14.25" customHeight="1">
      <c r="B654" s="3"/>
    </row>
    <row r="655" ht="14.25" customHeight="1">
      <c r="B655" s="3"/>
    </row>
    <row r="656" ht="14.25" customHeight="1">
      <c r="B656" s="3"/>
    </row>
    <row r="657" ht="14.25" customHeight="1">
      <c r="B657" s="3"/>
    </row>
    <row r="658" ht="14.25" customHeight="1">
      <c r="B658" s="3"/>
    </row>
    <row r="659" ht="14.25" customHeight="1">
      <c r="B659" s="3"/>
    </row>
    <row r="660" ht="14.25" customHeight="1">
      <c r="B660" s="3"/>
    </row>
    <row r="661" ht="14.25" customHeight="1">
      <c r="B661" s="3"/>
    </row>
    <row r="662" ht="14.25" customHeight="1">
      <c r="B662" s="3"/>
    </row>
    <row r="663" ht="14.25" customHeight="1">
      <c r="B663" s="3"/>
    </row>
    <row r="664" ht="14.25" customHeight="1">
      <c r="B664" s="3"/>
    </row>
    <row r="665" ht="14.25" customHeight="1">
      <c r="B665" s="3"/>
    </row>
    <row r="666" ht="14.25" customHeight="1">
      <c r="B666" s="3"/>
    </row>
    <row r="667" ht="14.25" customHeight="1">
      <c r="B667" s="3"/>
    </row>
    <row r="668" ht="14.25" customHeight="1">
      <c r="B668" s="3"/>
    </row>
    <row r="669" ht="14.25" customHeight="1">
      <c r="B669" s="3"/>
    </row>
    <row r="670" ht="14.25" customHeight="1">
      <c r="B670" s="3"/>
    </row>
    <row r="671" ht="14.25" customHeight="1">
      <c r="B671" s="3"/>
    </row>
    <row r="672" ht="14.25" customHeight="1">
      <c r="B672" s="3"/>
    </row>
    <row r="673" ht="14.25" customHeight="1">
      <c r="B673" s="3"/>
    </row>
    <row r="674" ht="14.25" customHeight="1">
      <c r="B674" s="3"/>
    </row>
    <row r="675" ht="14.25" customHeight="1">
      <c r="B675" s="3"/>
    </row>
    <row r="676" ht="14.25" customHeight="1">
      <c r="B676" s="3"/>
    </row>
    <row r="677" ht="14.25" customHeight="1">
      <c r="B677" s="3"/>
    </row>
    <row r="678" ht="14.25" customHeight="1">
      <c r="B678" s="3"/>
    </row>
    <row r="679" ht="14.25" customHeight="1">
      <c r="B679" s="3"/>
    </row>
    <row r="680" ht="14.25" customHeight="1">
      <c r="B680" s="3"/>
    </row>
    <row r="681" ht="14.25" customHeight="1">
      <c r="B681" s="3"/>
    </row>
    <row r="682" ht="14.25" customHeight="1">
      <c r="B682" s="3"/>
    </row>
    <row r="683" ht="14.25" customHeight="1">
      <c r="B683" s="3"/>
    </row>
    <row r="684" ht="14.25" customHeight="1">
      <c r="B684" s="3"/>
    </row>
    <row r="685" ht="14.25" customHeight="1">
      <c r="B685" s="3"/>
    </row>
    <row r="686" ht="14.25" customHeight="1">
      <c r="B686" s="3"/>
    </row>
    <row r="687" ht="14.25" customHeight="1">
      <c r="B687" s="3"/>
    </row>
    <row r="688" ht="14.25" customHeight="1">
      <c r="B688" s="3"/>
    </row>
    <row r="689" ht="14.25" customHeight="1">
      <c r="B689" s="3"/>
    </row>
    <row r="690" ht="14.25" customHeight="1">
      <c r="B690" s="3"/>
    </row>
    <row r="691" ht="14.25" customHeight="1">
      <c r="B691" s="3"/>
    </row>
    <row r="692" ht="14.25" customHeight="1">
      <c r="B692" s="3"/>
    </row>
    <row r="693" ht="14.25" customHeight="1">
      <c r="B693" s="3"/>
    </row>
    <row r="694" ht="14.25" customHeight="1">
      <c r="B694" s="3"/>
    </row>
    <row r="695" ht="14.25" customHeight="1">
      <c r="B695" s="3"/>
    </row>
    <row r="696" ht="14.25" customHeight="1">
      <c r="B696" s="3"/>
    </row>
    <row r="697" ht="14.25" customHeight="1">
      <c r="B697" s="3"/>
    </row>
    <row r="698" ht="14.25" customHeight="1">
      <c r="B698" s="3"/>
    </row>
    <row r="699" ht="14.25" customHeight="1">
      <c r="B699" s="3"/>
    </row>
    <row r="700" ht="14.25" customHeight="1">
      <c r="B700" s="3"/>
    </row>
    <row r="701" ht="14.25" customHeight="1">
      <c r="B701" s="3"/>
    </row>
    <row r="702" ht="14.25" customHeight="1">
      <c r="B702" s="3"/>
    </row>
    <row r="703" ht="14.25" customHeight="1">
      <c r="B703" s="3"/>
    </row>
    <row r="704" ht="14.25" customHeight="1">
      <c r="B704" s="3"/>
    </row>
    <row r="705" ht="14.25" customHeight="1">
      <c r="B705" s="3"/>
    </row>
    <row r="706" ht="14.25" customHeight="1">
      <c r="B706" s="3"/>
    </row>
    <row r="707" ht="14.25" customHeight="1">
      <c r="B707" s="3"/>
    </row>
    <row r="708" ht="14.25" customHeight="1">
      <c r="B708" s="3"/>
    </row>
    <row r="709" ht="14.25" customHeight="1">
      <c r="B709" s="3"/>
    </row>
    <row r="710" ht="14.25" customHeight="1">
      <c r="B710" s="3"/>
    </row>
    <row r="711" ht="14.25" customHeight="1">
      <c r="B711" s="3"/>
    </row>
    <row r="712" ht="14.25" customHeight="1">
      <c r="B712" s="3"/>
    </row>
    <row r="713" ht="14.25" customHeight="1">
      <c r="B713" s="3"/>
    </row>
    <row r="714" ht="14.25" customHeight="1">
      <c r="B714" s="3"/>
    </row>
    <row r="715" ht="14.25" customHeight="1">
      <c r="B715" s="3"/>
    </row>
    <row r="716" ht="14.25" customHeight="1">
      <c r="B716" s="3"/>
    </row>
    <row r="717" ht="14.25" customHeight="1">
      <c r="B717" s="3"/>
    </row>
    <row r="718" ht="14.25" customHeight="1">
      <c r="B718" s="3"/>
    </row>
    <row r="719" ht="14.25" customHeight="1">
      <c r="B719" s="3"/>
    </row>
    <row r="720" ht="14.25" customHeight="1">
      <c r="B720" s="3"/>
    </row>
    <row r="721" ht="14.25" customHeight="1">
      <c r="B721" s="3"/>
    </row>
    <row r="722" ht="14.25" customHeight="1">
      <c r="B722" s="3"/>
    </row>
    <row r="723" ht="14.25" customHeight="1">
      <c r="B723" s="3"/>
    </row>
    <row r="724" ht="14.25" customHeight="1">
      <c r="B724" s="3"/>
    </row>
    <row r="725" ht="14.25" customHeight="1">
      <c r="B725" s="3"/>
    </row>
    <row r="726" ht="14.25" customHeight="1">
      <c r="B726" s="3"/>
    </row>
    <row r="727" ht="14.25" customHeight="1">
      <c r="B727" s="3"/>
    </row>
    <row r="728" ht="14.25" customHeight="1">
      <c r="B728" s="3"/>
    </row>
    <row r="729" ht="14.25" customHeight="1">
      <c r="B729" s="3"/>
    </row>
    <row r="730" ht="14.25" customHeight="1">
      <c r="B730" s="3"/>
    </row>
    <row r="731" ht="14.25" customHeight="1">
      <c r="B731" s="3"/>
    </row>
    <row r="732" ht="14.25" customHeight="1">
      <c r="B732" s="3"/>
    </row>
    <row r="733" ht="14.25" customHeight="1">
      <c r="B733" s="3"/>
    </row>
    <row r="734" ht="14.25" customHeight="1">
      <c r="B734" s="3"/>
    </row>
    <row r="735" ht="14.25" customHeight="1">
      <c r="B735" s="3"/>
    </row>
    <row r="736" ht="14.25" customHeight="1">
      <c r="B736" s="3"/>
    </row>
    <row r="737" ht="14.25" customHeight="1">
      <c r="B737" s="3"/>
    </row>
    <row r="738" ht="14.25" customHeight="1">
      <c r="B738" s="3"/>
    </row>
    <row r="739" ht="14.25" customHeight="1">
      <c r="B739" s="3"/>
    </row>
    <row r="740" ht="14.25" customHeight="1">
      <c r="B740" s="3"/>
    </row>
    <row r="741" ht="14.25" customHeight="1">
      <c r="B741" s="3"/>
    </row>
    <row r="742" ht="14.25" customHeight="1">
      <c r="B742" s="3"/>
    </row>
    <row r="743" ht="14.25" customHeight="1">
      <c r="B743" s="3"/>
    </row>
    <row r="744" ht="14.25" customHeight="1">
      <c r="B744" s="3"/>
    </row>
    <row r="745" ht="14.25" customHeight="1">
      <c r="B745" s="3"/>
    </row>
    <row r="746" ht="14.25" customHeight="1">
      <c r="B746" s="3"/>
    </row>
    <row r="747" ht="14.25" customHeight="1">
      <c r="B747" s="3"/>
    </row>
    <row r="748" ht="14.25" customHeight="1">
      <c r="B748" s="3"/>
    </row>
    <row r="749" ht="14.25" customHeight="1">
      <c r="B749" s="3"/>
    </row>
    <row r="750" ht="14.25" customHeight="1">
      <c r="B750" s="3"/>
    </row>
    <row r="751" ht="14.25" customHeight="1">
      <c r="B751" s="3"/>
    </row>
    <row r="752" ht="14.25" customHeight="1">
      <c r="B752" s="3"/>
    </row>
    <row r="753" ht="14.25" customHeight="1">
      <c r="B753" s="3"/>
    </row>
    <row r="754" ht="14.25" customHeight="1">
      <c r="B754" s="3"/>
    </row>
    <row r="755" ht="14.25" customHeight="1">
      <c r="B755" s="3"/>
    </row>
    <row r="756" ht="14.25" customHeight="1">
      <c r="B756" s="3"/>
    </row>
    <row r="757" ht="14.25" customHeight="1">
      <c r="B757" s="3"/>
    </row>
    <row r="758" ht="14.25" customHeight="1">
      <c r="B758" s="3"/>
    </row>
    <row r="759" ht="14.25" customHeight="1">
      <c r="B759" s="3"/>
    </row>
    <row r="760" ht="14.25" customHeight="1">
      <c r="B760" s="3"/>
    </row>
    <row r="761" ht="14.25" customHeight="1">
      <c r="B761" s="3"/>
    </row>
    <row r="762" ht="14.25" customHeight="1">
      <c r="B762" s="3"/>
    </row>
    <row r="763" ht="14.25" customHeight="1">
      <c r="B763" s="3"/>
    </row>
    <row r="764" ht="14.25" customHeight="1">
      <c r="B764" s="3"/>
    </row>
    <row r="765" ht="14.25" customHeight="1">
      <c r="B765" s="3"/>
    </row>
    <row r="766" ht="14.25" customHeight="1">
      <c r="B766" s="3"/>
    </row>
    <row r="767" ht="14.25" customHeight="1">
      <c r="B767" s="3"/>
    </row>
    <row r="768" ht="14.25" customHeight="1">
      <c r="B768" s="3"/>
    </row>
    <row r="769" ht="14.25" customHeight="1">
      <c r="B769" s="3"/>
    </row>
    <row r="770" ht="14.25" customHeight="1">
      <c r="B770" s="3"/>
    </row>
    <row r="771" ht="14.25" customHeight="1">
      <c r="B771" s="3"/>
    </row>
    <row r="772" ht="14.25" customHeight="1">
      <c r="B772" s="3"/>
    </row>
    <row r="773" ht="14.25" customHeight="1">
      <c r="B773" s="3"/>
    </row>
    <row r="774" ht="14.25" customHeight="1">
      <c r="B774" s="3"/>
    </row>
    <row r="775" ht="14.25" customHeight="1">
      <c r="B775" s="3"/>
    </row>
    <row r="776" ht="14.25" customHeight="1">
      <c r="B776" s="3"/>
    </row>
    <row r="777" ht="14.25" customHeight="1">
      <c r="B777" s="3"/>
    </row>
    <row r="778" ht="14.25" customHeight="1">
      <c r="B778" s="3"/>
    </row>
    <row r="779" ht="14.25" customHeight="1">
      <c r="B779" s="3"/>
    </row>
    <row r="780" ht="14.25" customHeight="1">
      <c r="B780" s="3"/>
    </row>
    <row r="781" ht="14.25" customHeight="1">
      <c r="B781" s="3"/>
    </row>
    <row r="782" ht="14.25" customHeight="1">
      <c r="B782" s="3"/>
    </row>
    <row r="783" ht="14.25" customHeight="1">
      <c r="B783" s="3"/>
    </row>
    <row r="784" ht="14.25" customHeight="1">
      <c r="B784" s="3"/>
    </row>
    <row r="785" ht="14.25" customHeight="1">
      <c r="B785" s="3"/>
    </row>
    <row r="786" ht="14.25" customHeight="1">
      <c r="B786" s="3"/>
    </row>
    <row r="787" ht="14.25" customHeight="1">
      <c r="B787" s="3"/>
    </row>
    <row r="788" ht="14.25" customHeight="1">
      <c r="B788" s="3"/>
    </row>
    <row r="789" ht="14.25" customHeight="1">
      <c r="B789" s="3"/>
    </row>
    <row r="790" ht="14.25" customHeight="1">
      <c r="B790" s="3"/>
    </row>
    <row r="791" ht="14.25" customHeight="1">
      <c r="B791" s="3"/>
    </row>
    <row r="792" ht="14.25" customHeight="1">
      <c r="B792" s="3"/>
    </row>
    <row r="793" ht="14.25" customHeight="1">
      <c r="B793" s="3"/>
    </row>
    <row r="794" ht="14.25" customHeight="1">
      <c r="B794" s="3"/>
    </row>
    <row r="795" ht="14.25" customHeight="1">
      <c r="B795" s="3"/>
    </row>
    <row r="796" ht="14.25" customHeight="1">
      <c r="B796" s="3"/>
    </row>
    <row r="797" ht="14.25" customHeight="1">
      <c r="B797" s="3"/>
    </row>
    <row r="798" ht="14.25" customHeight="1">
      <c r="B798" s="3"/>
    </row>
    <row r="799" ht="14.25" customHeight="1">
      <c r="B799" s="3"/>
    </row>
    <row r="800" ht="14.25" customHeight="1">
      <c r="B800" s="3"/>
    </row>
    <row r="801" ht="14.25" customHeight="1">
      <c r="B801" s="3"/>
    </row>
    <row r="802" ht="14.25" customHeight="1">
      <c r="B802" s="3"/>
    </row>
    <row r="803" ht="14.25" customHeight="1">
      <c r="B803" s="3"/>
    </row>
    <row r="804" ht="14.25" customHeight="1">
      <c r="B804" s="3"/>
    </row>
    <row r="805" ht="14.25" customHeight="1">
      <c r="B805" s="3"/>
    </row>
    <row r="806" ht="14.25" customHeight="1">
      <c r="B806" s="3"/>
    </row>
    <row r="807" ht="14.25" customHeight="1">
      <c r="B807" s="3"/>
    </row>
    <row r="808" ht="14.25" customHeight="1">
      <c r="B808" s="3"/>
    </row>
    <row r="809" ht="14.25" customHeight="1">
      <c r="B809" s="3"/>
    </row>
    <row r="810" ht="14.25" customHeight="1">
      <c r="B810" s="3"/>
    </row>
    <row r="811" ht="14.25" customHeight="1">
      <c r="B811" s="3"/>
    </row>
    <row r="812" ht="14.25" customHeight="1">
      <c r="B812" s="3"/>
    </row>
    <row r="813" ht="14.25" customHeight="1">
      <c r="B813" s="3"/>
    </row>
    <row r="814" ht="14.25" customHeight="1">
      <c r="B814" s="3"/>
    </row>
    <row r="815" ht="14.25" customHeight="1">
      <c r="B815" s="3"/>
    </row>
    <row r="816" ht="14.25" customHeight="1">
      <c r="B816" s="3"/>
    </row>
    <row r="817" ht="14.25" customHeight="1">
      <c r="B817" s="3"/>
    </row>
    <row r="818" ht="14.25" customHeight="1">
      <c r="B818" s="3"/>
    </row>
    <row r="819" ht="14.25" customHeight="1">
      <c r="B819" s="3"/>
    </row>
    <row r="820" ht="14.25" customHeight="1">
      <c r="B820" s="3"/>
    </row>
    <row r="821" ht="14.25" customHeight="1">
      <c r="B821" s="3"/>
    </row>
    <row r="822" ht="14.25" customHeight="1">
      <c r="B822" s="3"/>
    </row>
    <row r="823" ht="14.25" customHeight="1">
      <c r="B823" s="3"/>
    </row>
    <row r="824" ht="14.25" customHeight="1">
      <c r="B824" s="3"/>
    </row>
    <row r="825" ht="14.25" customHeight="1">
      <c r="B825" s="3"/>
    </row>
    <row r="826" ht="14.25" customHeight="1">
      <c r="B826" s="3"/>
    </row>
    <row r="827" ht="14.25" customHeight="1">
      <c r="B827" s="3"/>
    </row>
    <row r="828" ht="14.25" customHeight="1">
      <c r="B828" s="3"/>
    </row>
    <row r="829" ht="14.25" customHeight="1">
      <c r="B829" s="3"/>
    </row>
    <row r="830" ht="14.25" customHeight="1">
      <c r="B830" s="3"/>
    </row>
    <row r="831" ht="14.25" customHeight="1">
      <c r="B831" s="3"/>
    </row>
    <row r="832" ht="14.25" customHeight="1">
      <c r="B832" s="3"/>
    </row>
    <row r="833" ht="14.25" customHeight="1">
      <c r="B833" s="3"/>
    </row>
    <row r="834" ht="14.25" customHeight="1">
      <c r="B834" s="3"/>
    </row>
    <row r="835" ht="14.25" customHeight="1">
      <c r="B835" s="3"/>
    </row>
    <row r="836" ht="14.25" customHeight="1">
      <c r="B836" s="3"/>
    </row>
    <row r="837" ht="14.25" customHeight="1">
      <c r="B837" s="3"/>
    </row>
    <row r="838" ht="14.25" customHeight="1">
      <c r="B838" s="3"/>
    </row>
    <row r="839" ht="14.25" customHeight="1">
      <c r="B839" s="3"/>
    </row>
    <row r="840" ht="14.25" customHeight="1">
      <c r="B840" s="3"/>
    </row>
    <row r="841" ht="14.25" customHeight="1">
      <c r="B841" s="3"/>
    </row>
    <row r="842" ht="14.25" customHeight="1">
      <c r="B842" s="3"/>
    </row>
    <row r="843" ht="14.25" customHeight="1">
      <c r="B843" s="3"/>
    </row>
    <row r="844" ht="14.25" customHeight="1">
      <c r="B844" s="3"/>
    </row>
    <row r="845" ht="14.25" customHeight="1">
      <c r="B845" s="3"/>
    </row>
    <row r="846" ht="14.25" customHeight="1">
      <c r="B846" s="3"/>
    </row>
    <row r="847" ht="14.25" customHeight="1">
      <c r="B847" s="3"/>
    </row>
    <row r="848" ht="14.25" customHeight="1">
      <c r="B848" s="3"/>
    </row>
    <row r="849" ht="14.25" customHeight="1">
      <c r="B849" s="3"/>
    </row>
    <row r="850" ht="14.25" customHeight="1">
      <c r="B850" s="3"/>
    </row>
    <row r="851" ht="14.25" customHeight="1">
      <c r="B851" s="3"/>
    </row>
    <row r="852" ht="14.25" customHeight="1">
      <c r="B852" s="3"/>
    </row>
    <row r="853" ht="14.25" customHeight="1">
      <c r="B853" s="3"/>
    </row>
    <row r="854" ht="14.25" customHeight="1">
      <c r="B854" s="3"/>
    </row>
    <row r="855" ht="14.25" customHeight="1">
      <c r="B855" s="3"/>
    </row>
    <row r="856" ht="14.25" customHeight="1">
      <c r="B856" s="3"/>
    </row>
    <row r="857" ht="14.25" customHeight="1">
      <c r="B857" s="3"/>
    </row>
    <row r="858" ht="14.25" customHeight="1">
      <c r="B858" s="3"/>
    </row>
    <row r="859" ht="14.25" customHeight="1">
      <c r="B859" s="3"/>
    </row>
    <row r="860" ht="14.25" customHeight="1">
      <c r="B860" s="3"/>
    </row>
    <row r="861" ht="14.25" customHeight="1">
      <c r="B861" s="3"/>
    </row>
    <row r="862" ht="14.25" customHeight="1">
      <c r="B862" s="3"/>
    </row>
    <row r="863" ht="14.25" customHeight="1">
      <c r="B863" s="3"/>
    </row>
    <row r="864" ht="14.25" customHeight="1">
      <c r="B864" s="3"/>
    </row>
    <row r="865" ht="14.25" customHeight="1">
      <c r="B865" s="3"/>
    </row>
    <row r="866" ht="14.25" customHeight="1">
      <c r="B866" s="3"/>
    </row>
    <row r="867" ht="14.25" customHeight="1">
      <c r="B867" s="3"/>
    </row>
    <row r="868" ht="14.25" customHeight="1">
      <c r="B868" s="3"/>
    </row>
    <row r="869" ht="14.25" customHeight="1">
      <c r="B869" s="3"/>
    </row>
    <row r="870" ht="14.25" customHeight="1">
      <c r="B870" s="3"/>
    </row>
    <row r="871" ht="14.25" customHeight="1">
      <c r="B871" s="3"/>
    </row>
    <row r="872" ht="14.25" customHeight="1">
      <c r="B872" s="3"/>
    </row>
    <row r="873" ht="14.25" customHeight="1">
      <c r="B873" s="3"/>
    </row>
    <row r="874" ht="14.25" customHeight="1">
      <c r="B874" s="3"/>
    </row>
    <row r="875" ht="14.25" customHeight="1">
      <c r="B875" s="3"/>
    </row>
    <row r="876" ht="14.25" customHeight="1">
      <c r="B876" s="3"/>
    </row>
    <row r="877" ht="14.25" customHeight="1">
      <c r="B877" s="3"/>
    </row>
    <row r="878" ht="14.25" customHeight="1">
      <c r="B878" s="3"/>
    </row>
    <row r="879" ht="14.25" customHeight="1">
      <c r="B879" s="3"/>
    </row>
    <row r="880" ht="14.25" customHeight="1">
      <c r="B880" s="3"/>
    </row>
    <row r="881" ht="14.25" customHeight="1">
      <c r="B881" s="3"/>
    </row>
    <row r="882" ht="14.25" customHeight="1">
      <c r="B882" s="3"/>
    </row>
    <row r="883" ht="14.25" customHeight="1">
      <c r="B883" s="3"/>
    </row>
    <row r="884" ht="14.25" customHeight="1">
      <c r="B884" s="3"/>
    </row>
    <row r="885" ht="14.25" customHeight="1">
      <c r="B885" s="3"/>
    </row>
    <row r="886" ht="14.25" customHeight="1">
      <c r="B886" s="3"/>
    </row>
    <row r="887" ht="14.25" customHeight="1">
      <c r="B887" s="3"/>
    </row>
    <row r="888" ht="14.25" customHeight="1">
      <c r="B888" s="3"/>
    </row>
    <row r="889" ht="14.25" customHeight="1">
      <c r="B889" s="3"/>
    </row>
    <row r="890" ht="14.25" customHeight="1">
      <c r="B890" s="3"/>
    </row>
    <row r="891" ht="14.25" customHeight="1">
      <c r="B891" s="3"/>
    </row>
    <row r="892" ht="14.25" customHeight="1">
      <c r="B892" s="3"/>
    </row>
    <row r="893" ht="14.25" customHeight="1">
      <c r="B893" s="3"/>
    </row>
    <row r="894" ht="14.25" customHeight="1">
      <c r="B894" s="3"/>
    </row>
    <row r="895" ht="14.25" customHeight="1">
      <c r="B895" s="3"/>
    </row>
    <row r="896" ht="14.25" customHeight="1">
      <c r="B896" s="3"/>
    </row>
    <row r="897" ht="14.25" customHeight="1">
      <c r="B897" s="3"/>
    </row>
    <row r="898" ht="14.25" customHeight="1">
      <c r="B898" s="3"/>
    </row>
    <row r="899" ht="14.25" customHeight="1">
      <c r="B899" s="3"/>
    </row>
    <row r="900" ht="14.25" customHeight="1">
      <c r="B900" s="3"/>
    </row>
    <row r="901" ht="14.25" customHeight="1">
      <c r="B901" s="3"/>
    </row>
    <row r="902" ht="14.25" customHeight="1">
      <c r="B902" s="3"/>
    </row>
    <row r="903" ht="14.25" customHeight="1">
      <c r="B903" s="3"/>
    </row>
    <row r="904" ht="14.25" customHeight="1">
      <c r="B904" s="3"/>
    </row>
    <row r="905" ht="14.25" customHeight="1">
      <c r="B905" s="3"/>
    </row>
    <row r="906" ht="14.25" customHeight="1">
      <c r="B906" s="3"/>
    </row>
    <row r="907" ht="14.25" customHeight="1">
      <c r="B907" s="3"/>
    </row>
    <row r="908" ht="14.25" customHeight="1">
      <c r="B908" s="3"/>
    </row>
    <row r="909" ht="14.25" customHeight="1">
      <c r="B909" s="3"/>
    </row>
    <row r="910" ht="14.25" customHeight="1">
      <c r="B910" s="3"/>
    </row>
    <row r="911" ht="14.25" customHeight="1">
      <c r="B911" s="3"/>
    </row>
    <row r="912" ht="14.25" customHeight="1">
      <c r="B912" s="3"/>
    </row>
    <row r="913" ht="14.25" customHeight="1">
      <c r="B913" s="3"/>
    </row>
    <row r="914" ht="14.25" customHeight="1">
      <c r="B914" s="3"/>
    </row>
    <row r="915" ht="14.25" customHeight="1">
      <c r="B915" s="3"/>
    </row>
    <row r="916" ht="14.25" customHeight="1">
      <c r="B916" s="3"/>
    </row>
    <row r="917" ht="14.25" customHeight="1">
      <c r="B917" s="3"/>
    </row>
    <row r="918" ht="14.25" customHeight="1">
      <c r="B918" s="3"/>
    </row>
    <row r="919" ht="14.25" customHeight="1">
      <c r="B919" s="3"/>
    </row>
    <row r="920" ht="14.25" customHeight="1">
      <c r="B920" s="3"/>
    </row>
    <row r="921" ht="14.25" customHeight="1">
      <c r="B921" s="3"/>
    </row>
    <row r="922" ht="14.25" customHeight="1">
      <c r="B922" s="3"/>
    </row>
    <row r="923" ht="14.25" customHeight="1">
      <c r="B923" s="3"/>
    </row>
    <row r="924" ht="14.25" customHeight="1">
      <c r="B924" s="3"/>
    </row>
    <row r="925" ht="14.25" customHeight="1">
      <c r="B925" s="3"/>
    </row>
    <row r="926" ht="14.25" customHeight="1">
      <c r="B926" s="3"/>
    </row>
    <row r="927" ht="14.25" customHeight="1">
      <c r="B927" s="3"/>
    </row>
    <row r="928" ht="14.25" customHeight="1">
      <c r="B928" s="3"/>
    </row>
    <row r="929" ht="14.25" customHeight="1">
      <c r="B929" s="3"/>
    </row>
    <row r="930" ht="14.25" customHeight="1">
      <c r="B930" s="3"/>
    </row>
    <row r="931" ht="14.25" customHeight="1">
      <c r="B931" s="3"/>
    </row>
    <row r="932" ht="14.25" customHeight="1">
      <c r="B932" s="3"/>
    </row>
    <row r="933" ht="14.25" customHeight="1">
      <c r="B933" s="3"/>
    </row>
    <row r="934" ht="14.25" customHeight="1">
      <c r="B934" s="3"/>
    </row>
    <row r="935" ht="14.25" customHeight="1">
      <c r="B935" s="3"/>
    </row>
    <row r="936" ht="14.25" customHeight="1">
      <c r="B936" s="3"/>
    </row>
    <row r="937" ht="14.25" customHeight="1">
      <c r="B937" s="3"/>
    </row>
    <row r="938" ht="14.25" customHeight="1">
      <c r="B938" s="3"/>
    </row>
    <row r="939" ht="14.25" customHeight="1">
      <c r="B939" s="3"/>
    </row>
    <row r="940" ht="14.25" customHeight="1">
      <c r="B940" s="3"/>
    </row>
    <row r="941" ht="14.25" customHeight="1">
      <c r="B941" s="3"/>
    </row>
    <row r="942" ht="14.25" customHeight="1">
      <c r="B942" s="3"/>
    </row>
    <row r="943" ht="14.25" customHeight="1">
      <c r="B943" s="3"/>
    </row>
    <row r="944" ht="14.25" customHeight="1">
      <c r="B944" s="3"/>
    </row>
    <row r="945" ht="14.25" customHeight="1">
      <c r="B945" s="3"/>
    </row>
    <row r="946" ht="14.25" customHeight="1">
      <c r="B946" s="3"/>
    </row>
    <row r="947" ht="14.25" customHeight="1">
      <c r="B947" s="3"/>
    </row>
    <row r="948" ht="14.25" customHeight="1">
      <c r="B948" s="3"/>
    </row>
    <row r="949" ht="14.25" customHeight="1">
      <c r="B949" s="3"/>
    </row>
    <row r="950" ht="14.25" customHeight="1">
      <c r="B950" s="3"/>
    </row>
    <row r="951" ht="14.25" customHeight="1">
      <c r="B951" s="3"/>
    </row>
    <row r="952" ht="14.25" customHeight="1">
      <c r="B952" s="3"/>
    </row>
    <row r="953" ht="14.25" customHeight="1">
      <c r="B953" s="3"/>
    </row>
    <row r="954" ht="14.25" customHeight="1">
      <c r="B954" s="3"/>
    </row>
    <row r="955" ht="14.25" customHeight="1">
      <c r="B955" s="3"/>
    </row>
    <row r="956" ht="14.25" customHeight="1">
      <c r="B956" s="3"/>
    </row>
    <row r="957" ht="14.25" customHeight="1">
      <c r="B957" s="3"/>
    </row>
    <row r="958" ht="14.25" customHeight="1">
      <c r="B958" s="3"/>
    </row>
    <row r="959" ht="14.25" customHeight="1">
      <c r="B959" s="3"/>
    </row>
    <row r="960" ht="14.25" customHeight="1">
      <c r="B960" s="3"/>
    </row>
    <row r="961" ht="14.25" customHeight="1">
      <c r="B961" s="3"/>
    </row>
    <row r="962" ht="14.25" customHeight="1">
      <c r="B962" s="3"/>
    </row>
    <row r="963" ht="14.25" customHeight="1">
      <c r="B963" s="3"/>
    </row>
    <row r="964" ht="14.25" customHeight="1">
      <c r="B964" s="3"/>
    </row>
    <row r="965" ht="14.25" customHeight="1">
      <c r="B965" s="3"/>
    </row>
    <row r="966" ht="14.25" customHeight="1">
      <c r="B966" s="3"/>
    </row>
    <row r="967" ht="14.25" customHeight="1">
      <c r="B967" s="3"/>
    </row>
    <row r="968" ht="14.25" customHeight="1">
      <c r="B968" s="3"/>
    </row>
    <row r="969" ht="14.25" customHeight="1">
      <c r="B969" s="3"/>
    </row>
    <row r="970" ht="14.25" customHeight="1">
      <c r="B970" s="3"/>
    </row>
    <row r="971" ht="14.25" customHeight="1">
      <c r="B971" s="3"/>
    </row>
    <row r="972" ht="14.25" customHeight="1">
      <c r="B972" s="3"/>
    </row>
    <row r="973" ht="14.25" customHeight="1">
      <c r="B973" s="3"/>
    </row>
    <row r="974" ht="14.25" customHeight="1">
      <c r="B974" s="3"/>
    </row>
    <row r="975" ht="14.25" customHeight="1">
      <c r="B975" s="3"/>
    </row>
    <row r="976" ht="14.25" customHeight="1">
      <c r="B976" s="3"/>
    </row>
    <row r="977" ht="14.25" customHeight="1">
      <c r="B977" s="3"/>
    </row>
    <row r="978" ht="14.25" customHeight="1">
      <c r="B978" s="3"/>
    </row>
    <row r="979" ht="14.25" customHeight="1">
      <c r="B979" s="3"/>
    </row>
    <row r="980" ht="14.25" customHeight="1">
      <c r="B980" s="3"/>
    </row>
    <row r="981" ht="14.25" customHeight="1">
      <c r="B981" s="3"/>
    </row>
    <row r="982" ht="14.25" customHeight="1">
      <c r="B982" s="3"/>
    </row>
    <row r="983" ht="14.25" customHeight="1">
      <c r="B983" s="3"/>
    </row>
    <row r="984" ht="14.25" customHeight="1">
      <c r="B984" s="3"/>
    </row>
    <row r="985" ht="14.25" customHeight="1">
      <c r="B985" s="3"/>
    </row>
    <row r="986" ht="14.25" customHeight="1">
      <c r="B986" s="3"/>
    </row>
    <row r="987" ht="14.25" customHeight="1">
      <c r="B987" s="3"/>
    </row>
    <row r="988" ht="14.25" customHeight="1">
      <c r="B988" s="3"/>
    </row>
    <row r="989" ht="14.25" customHeight="1">
      <c r="B989" s="3"/>
    </row>
    <row r="990" ht="14.25" customHeight="1">
      <c r="B990" s="3"/>
    </row>
    <row r="991" ht="14.25" customHeight="1">
      <c r="B991" s="3"/>
    </row>
    <row r="992" ht="14.25" customHeight="1">
      <c r="B992" s="3"/>
    </row>
    <row r="993" ht="14.25" customHeight="1">
      <c r="B993" s="3"/>
    </row>
    <row r="994" ht="14.25" customHeight="1">
      <c r="B994" s="3"/>
    </row>
    <row r="995" ht="14.25" customHeight="1">
      <c r="B995" s="3"/>
    </row>
    <row r="996" ht="14.25" customHeight="1">
      <c r="B996" s="3"/>
    </row>
    <row r="997" ht="14.25" customHeight="1">
      <c r="B997" s="3"/>
    </row>
    <row r="998" ht="14.25" customHeight="1">
      <c r="B998" s="3"/>
    </row>
    <row r="999" ht="14.25" customHeight="1">
      <c r="B999" s="3"/>
    </row>
    <row r="1000" ht="14.25" customHeight="1">
      <c r="B1000" s="3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1521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1522</v>
      </c>
      <c r="B2" s="1" t="s">
        <v>324</v>
      </c>
      <c r="C2" s="1" t="s">
        <v>7</v>
      </c>
      <c r="D2" s="1" t="s">
        <v>9</v>
      </c>
      <c r="F2" s="4" t="str">
        <f>IFERROR(__xludf.DUMMYFUNCTION("UNIQUE(A2:A1000)"),"182172")</f>
        <v>182172</v>
      </c>
      <c r="G2" s="4" t="str">
        <f t="shared" ref="G2:G93" si="1">CONCATENATE("10","/",VLOOKUP(F2, A2:D1000, 2, false),"/",2023)</f>
        <v>10/12/2023</v>
      </c>
      <c r="H2" s="4" t="str">
        <f t="shared" ref="H2:H93" si="2">INDEX(D:D, MATCH(1, ($A:$A = $F2) * ($C:$C = $H$1), 0))</f>
        <v>11/11/1940</v>
      </c>
      <c r="I2" s="4" t="str">
        <f t="shared" ref="I2:I93" si="3">INDEX(D:D, MATCH(1, ($A:$A = $F2) * ($C:$C = $I$1), 0))</f>
        <v>Basic</v>
      </c>
      <c r="J2" s="4" t="str">
        <f t="shared" ref="J2:J93" si="4">INDEX(D:D, MATCH(1, ($A:$A = $F2) * ($C:$C = $J$1), 0))</f>
        <v>Other</v>
      </c>
    </row>
    <row r="3" ht="14.25" customHeight="1">
      <c r="A3" s="1" t="s">
        <v>1522</v>
      </c>
      <c r="B3" s="1" t="s">
        <v>324</v>
      </c>
      <c r="C3" s="1" t="s">
        <v>5</v>
      </c>
      <c r="D3" s="1" t="s">
        <v>1523</v>
      </c>
      <c r="F3" s="1" t="str">
        <f>IFERROR(__xludf.DUMMYFUNCTION("""COMPUTED_VALUE"""),"293881")</f>
        <v>293881</v>
      </c>
      <c r="G3" s="4" t="str">
        <f t="shared" si="1"/>
        <v>10/29/2023</v>
      </c>
      <c r="H3" s="4" t="str">
        <f t="shared" si="2"/>
        <v>3/10/1963</v>
      </c>
      <c r="I3" s="4" t="str">
        <f t="shared" si="3"/>
        <v>Basic</v>
      </c>
      <c r="J3" s="4" t="str">
        <f t="shared" si="4"/>
        <v>Black</v>
      </c>
    </row>
    <row r="4" ht="14.25" customHeight="1">
      <c r="A4" s="1" t="s">
        <v>1522</v>
      </c>
      <c r="B4" s="1" t="s">
        <v>324</v>
      </c>
      <c r="C4" s="1" t="s">
        <v>6</v>
      </c>
      <c r="D4" s="1" t="s">
        <v>21</v>
      </c>
      <c r="F4" s="1" t="str">
        <f>IFERROR(__xludf.DUMMYFUNCTION("""COMPUTED_VALUE"""),"900970")</f>
        <v>900970</v>
      </c>
      <c r="G4" s="4" t="str">
        <f t="shared" si="1"/>
        <v>10/7/2023</v>
      </c>
      <c r="H4" s="4" t="str">
        <f t="shared" si="2"/>
        <v>2/27/1985</v>
      </c>
      <c r="I4" s="4" t="str">
        <f t="shared" si="3"/>
        <v>Basic</v>
      </c>
      <c r="J4" s="4" t="str">
        <f t="shared" si="4"/>
        <v>Asian</v>
      </c>
    </row>
    <row r="5" ht="14.25" customHeight="1">
      <c r="A5" s="1" t="s">
        <v>1524</v>
      </c>
      <c r="B5" s="1" t="s">
        <v>378</v>
      </c>
      <c r="C5" s="1" t="s">
        <v>7</v>
      </c>
      <c r="D5" s="1" t="s">
        <v>25</v>
      </c>
      <c r="F5" s="1" t="str">
        <f>IFERROR(__xludf.DUMMYFUNCTION("""COMPUTED_VALUE"""),"423343")</f>
        <v>423343</v>
      </c>
      <c r="G5" s="4" t="str">
        <f t="shared" si="1"/>
        <v>10/27/2023</v>
      </c>
      <c r="H5" s="4" t="str">
        <f t="shared" si="2"/>
        <v>7/25/1947</v>
      </c>
      <c r="I5" s="4" t="str">
        <f t="shared" si="3"/>
        <v>Basic</v>
      </c>
      <c r="J5" s="4" t="str">
        <f t="shared" si="4"/>
        <v>White</v>
      </c>
    </row>
    <row r="6" ht="14.25" customHeight="1">
      <c r="A6" s="1" t="s">
        <v>1524</v>
      </c>
      <c r="B6" s="1" t="s">
        <v>378</v>
      </c>
      <c r="C6" s="1" t="s">
        <v>5</v>
      </c>
      <c r="D6" s="1" t="s">
        <v>1525</v>
      </c>
      <c r="F6" s="1" t="str">
        <f>IFERROR(__xludf.DUMMYFUNCTION("""COMPUTED_VALUE"""),"562722")</f>
        <v>562722</v>
      </c>
      <c r="G6" s="4" t="str">
        <f t="shared" si="1"/>
        <v>10/25/2023</v>
      </c>
      <c r="H6" s="4" t="str">
        <f t="shared" si="2"/>
        <v>8/9/2007</v>
      </c>
      <c r="I6" s="4" t="str">
        <f t="shared" si="3"/>
        <v>Platinum</v>
      </c>
      <c r="J6" s="4" t="str">
        <f t="shared" si="4"/>
        <v>Asian</v>
      </c>
    </row>
    <row r="7" ht="14.25" customHeight="1">
      <c r="A7" s="1" t="s">
        <v>1524</v>
      </c>
      <c r="B7" s="1" t="s">
        <v>378</v>
      </c>
      <c r="C7" s="1" t="s">
        <v>6</v>
      </c>
      <c r="D7" s="1" t="s">
        <v>21</v>
      </c>
      <c r="F7" s="1" t="str">
        <f>IFERROR(__xludf.DUMMYFUNCTION("""COMPUTED_VALUE"""),"423637")</f>
        <v>423637</v>
      </c>
      <c r="G7" s="4" t="str">
        <f t="shared" si="1"/>
        <v>10/30/2023</v>
      </c>
      <c r="H7" s="4" t="str">
        <f t="shared" si="2"/>
        <v>1/30/1941</v>
      </c>
      <c r="I7" s="4" t="str">
        <f t="shared" si="3"/>
        <v>Basic</v>
      </c>
      <c r="J7" s="4" t="str">
        <f t="shared" si="4"/>
        <v>Other</v>
      </c>
    </row>
    <row r="8" ht="14.25" customHeight="1">
      <c r="A8" s="1" t="s">
        <v>1526</v>
      </c>
      <c r="B8" s="1" t="s">
        <v>246</v>
      </c>
      <c r="C8" s="1" t="s">
        <v>7</v>
      </c>
      <c r="D8" s="1" t="s">
        <v>19</v>
      </c>
      <c r="F8" s="1" t="str">
        <f>IFERROR(__xludf.DUMMYFUNCTION("""COMPUTED_VALUE"""),"937520")</f>
        <v>937520</v>
      </c>
      <c r="G8" s="4" t="str">
        <f t="shared" si="1"/>
        <v>10/30/2023</v>
      </c>
      <c r="H8" s="4" t="str">
        <f t="shared" si="2"/>
        <v>2/8/1964</v>
      </c>
      <c r="I8" s="4" t="str">
        <f t="shared" si="3"/>
        <v>Gold</v>
      </c>
      <c r="J8" s="4" t="str">
        <f t="shared" si="4"/>
        <v>Other</v>
      </c>
    </row>
    <row r="9" ht="14.25" customHeight="1">
      <c r="A9" s="1" t="s">
        <v>1526</v>
      </c>
      <c r="B9" s="1" t="s">
        <v>246</v>
      </c>
      <c r="C9" s="1" t="s">
        <v>5</v>
      </c>
      <c r="D9" s="1" t="s">
        <v>1527</v>
      </c>
      <c r="F9" s="1" t="str">
        <f>IFERROR(__xludf.DUMMYFUNCTION("""COMPUTED_VALUE"""),"577581")</f>
        <v>577581</v>
      </c>
      <c r="G9" s="4" t="str">
        <f t="shared" si="1"/>
        <v>10/22/2023</v>
      </c>
      <c r="H9" s="4" t="str">
        <f t="shared" si="2"/>
        <v>6/22/1960</v>
      </c>
      <c r="I9" s="4" t="str">
        <f t="shared" si="3"/>
        <v>Platinum</v>
      </c>
      <c r="J9" s="4" t="str">
        <f t="shared" si="4"/>
        <v>White</v>
      </c>
    </row>
    <row r="10" ht="14.25" customHeight="1">
      <c r="A10" s="1" t="s">
        <v>1526</v>
      </c>
      <c r="B10" s="1" t="s">
        <v>246</v>
      </c>
      <c r="C10" s="1" t="s">
        <v>6</v>
      </c>
      <c r="D10" s="1" t="s">
        <v>21</v>
      </c>
      <c r="F10" s="1" t="str">
        <f>IFERROR(__xludf.DUMMYFUNCTION("""COMPUTED_VALUE"""),"889600")</f>
        <v>889600</v>
      </c>
      <c r="G10" s="4" t="str">
        <f t="shared" si="1"/>
        <v>10/7/2023</v>
      </c>
      <c r="H10" s="4" t="str">
        <f t="shared" si="2"/>
        <v>6/2/1946</v>
      </c>
      <c r="I10" s="4" t="str">
        <f t="shared" si="3"/>
        <v>Gold</v>
      </c>
      <c r="J10" s="4" t="str">
        <f t="shared" si="4"/>
        <v>Asian</v>
      </c>
    </row>
    <row r="11" ht="14.25" customHeight="1">
      <c r="A11" s="1" t="s">
        <v>1528</v>
      </c>
      <c r="B11" s="1" t="s">
        <v>203</v>
      </c>
      <c r="C11" s="1" t="s">
        <v>7</v>
      </c>
      <c r="D11" s="1" t="s">
        <v>13</v>
      </c>
      <c r="F11" s="1" t="str">
        <f>IFERROR(__xludf.DUMMYFUNCTION("""COMPUTED_VALUE"""),"229517")</f>
        <v>229517</v>
      </c>
      <c r="G11" s="4" t="str">
        <f t="shared" si="1"/>
        <v>10/20/2023</v>
      </c>
      <c r="H11" s="4" t="str">
        <f t="shared" si="2"/>
        <v>5/26/1969</v>
      </c>
      <c r="I11" s="4" t="str">
        <f t="shared" si="3"/>
        <v>Platinum</v>
      </c>
      <c r="J11" s="4" t="str">
        <f t="shared" si="4"/>
        <v>Asian</v>
      </c>
    </row>
    <row r="12" ht="14.25" customHeight="1">
      <c r="A12" s="1" t="s">
        <v>1528</v>
      </c>
      <c r="B12" s="1" t="s">
        <v>203</v>
      </c>
      <c r="C12" s="1" t="s">
        <v>5</v>
      </c>
      <c r="D12" s="1" t="s">
        <v>1529</v>
      </c>
      <c r="F12" s="1" t="str">
        <f>IFERROR(__xludf.DUMMYFUNCTION("""COMPUTED_VALUE"""),"189309")</f>
        <v>189309</v>
      </c>
      <c r="G12" s="4" t="str">
        <f t="shared" si="1"/>
        <v>10/24/2023</v>
      </c>
      <c r="H12" s="4" t="str">
        <f t="shared" si="2"/>
        <v>1/29/1985</v>
      </c>
      <c r="I12" s="4" t="str">
        <f t="shared" si="3"/>
        <v>Platinum</v>
      </c>
      <c r="J12" s="4" t="str">
        <f t="shared" si="4"/>
        <v>Other</v>
      </c>
    </row>
    <row r="13" ht="14.25" customHeight="1">
      <c r="A13" s="1" t="s">
        <v>1528</v>
      </c>
      <c r="B13" s="1" t="s">
        <v>203</v>
      </c>
      <c r="C13" s="1" t="s">
        <v>6</v>
      </c>
      <c r="D13" s="1" t="s">
        <v>21</v>
      </c>
      <c r="F13" s="1" t="str">
        <f>IFERROR(__xludf.DUMMYFUNCTION("""COMPUTED_VALUE"""),"511264")</f>
        <v>511264</v>
      </c>
      <c r="G13" s="4" t="str">
        <f t="shared" si="1"/>
        <v>10/27/2023</v>
      </c>
      <c r="H13" s="4" t="str">
        <f t="shared" si="2"/>
        <v>7/7/1957</v>
      </c>
      <c r="I13" s="4" t="str">
        <f t="shared" si="3"/>
        <v>Platinum</v>
      </c>
      <c r="J13" s="4" t="str">
        <f t="shared" si="4"/>
        <v>Other</v>
      </c>
    </row>
    <row r="14" ht="14.25" customHeight="1">
      <c r="A14" s="1" t="s">
        <v>1530</v>
      </c>
      <c r="B14" s="1" t="s">
        <v>208</v>
      </c>
      <c r="C14" s="1" t="s">
        <v>7</v>
      </c>
      <c r="D14" s="1" t="s">
        <v>19</v>
      </c>
      <c r="F14" s="1" t="str">
        <f>IFERROR(__xludf.DUMMYFUNCTION("""COMPUTED_VALUE"""),"543527")</f>
        <v>543527</v>
      </c>
      <c r="G14" s="4" t="str">
        <f t="shared" si="1"/>
        <v>10/12/2023</v>
      </c>
      <c r="H14" s="4" t="str">
        <f t="shared" si="2"/>
        <v>2/23/2013</v>
      </c>
      <c r="I14" s="4" t="str">
        <f t="shared" si="3"/>
        <v>Gold</v>
      </c>
      <c r="J14" s="4" t="str">
        <f t="shared" si="4"/>
        <v>Other</v>
      </c>
    </row>
    <row r="15" ht="14.25" customHeight="1">
      <c r="A15" s="1" t="s">
        <v>1530</v>
      </c>
      <c r="B15" s="1" t="s">
        <v>208</v>
      </c>
      <c r="C15" s="1" t="s">
        <v>5</v>
      </c>
      <c r="D15" s="1" t="s">
        <v>1531</v>
      </c>
      <c r="F15" s="1" t="str">
        <f>IFERROR(__xludf.DUMMYFUNCTION("""COMPUTED_VALUE"""),"491387")</f>
        <v>491387</v>
      </c>
      <c r="G15" s="4" t="str">
        <f t="shared" si="1"/>
        <v>10/28/2023</v>
      </c>
      <c r="H15" s="4" t="str">
        <f t="shared" si="2"/>
        <v>11/4/2001</v>
      </c>
      <c r="I15" s="4" t="str">
        <f t="shared" si="3"/>
        <v>Platinum</v>
      </c>
      <c r="J15" s="4" t="str">
        <f t="shared" si="4"/>
        <v>Asian</v>
      </c>
    </row>
    <row r="16" ht="14.25" customHeight="1">
      <c r="A16" s="1" t="s">
        <v>1530</v>
      </c>
      <c r="B16" s="1" t="s">
        <v>208</v>
      </c>
      <c r="C16" s="1" t="s">
        <v>6</v>
      </c>
      <c r="D16" s="1" t="s">
        <v>11</v>
      </c>
      <c r="F16" s="1" t="str">
        <f>IFERROR(__xludf.DUMMYFUNCTION("""COMPUTED_VALUE"""),"940125")</f>
        <v>940125</v>
      </c>
      <c r="G16" s="4" t="str">
        <f t="shared" si="1"/>
        <v>10/2/2023</v>
      </c>
      <c r="H16" s="4" t="str">
        <f t="shared" si="2"/>
        <v>9/22/1949</v>
      </c>
      <c r="I16" s="4" t="str">
        <f t="shared" si="3"/>
        <v>Gold</v>
      </c>
      <c r="J16" s="4" t="str">
        <f t="shared" si="4"/>
        <v>Black</v>
      </c>
    </row>
    <row r="17" ht="14.25" customHeight="1">
      <c r="A17" s="1" t="s">
        <v>1532</v>
      </c>
      <c r="B17" s="1" t="s">
        <v>472</v>
      </c>
      <c r="C17" s="1" t="s">
        <v>7</v>
      </c>
      <c r="D17" s="1" t="s">
        <v>9</v>
      </c>
      <c r="F17" s="1" t="str">
        <f>IFERROR(__xludf.DUMMYFUNCTION("""COMPUTED_VALUE"""),"971397")</f>
        <v>971397</v>
      </c>
      <c r="G17" s="4" t="str">
        <f t="shared" si="1"/>
        <v>10/20/2023</v>
      </c>
      <c r="H17" s="4" t="str">
        <f t="shared" si="2"/>
        <v>10/21/1970</v>
      </c>
      <c r="I17" s="4" t="str">
        <f t="shared" si="3"/>
        <v>Platinum</v>
      </c>
      <c r="J17" s="4" t="str">
        <f t="shared" si="4"/>
        <v>Other</v>
      </c>
    </row>
    <row r="18" ht="14.25" customHeight="1">
      <c r="A18" s="1" t="s">
        <v>1532</v>
      </c>
      <c r="B18" s="1" t="s">
        <v>472</v>
      </c>
      <c r="C18" s="1" t="s">
        <v>5</v>
      </c>
      <c r="D18" s="1" t="s">
        <v>1533</v>
      </c>
      <c r="F18" s="1" t="str">
        <f>IFERROR(__xludf.DUMMYFUNCTION("""COMPUTED_VALUE"""),"703596")</f>
        <v>703596</v>
      </c>
      <c r="G18" s="4" t="str">
        <f t="shared" si="1"/>
        <v>10/26/2023</v>
      </c>
      <c r="H18" s="4" t="str">
        <f t="shared" si="2"/>
        <v>6/6/1948</v>
      </c>
      <c r="I18" s="4" t="str">
        <f t="shared" si="3"/>
        <v>Platinum</v>
      </c>
      <c r="J18" s="4" t="str">
        <f t="shared" si="4"/>
        <v>White</v>
      </c>
    </row>
    <row r="19" ht="14.25" customHeight="1">
      <c r="A19" s="1" t="s">
        <v>1532</v>
      </c>
      <c r="B19" s="1" t="s">
        <v>472</v>
      </c>
      <c r="C19" s="1" t="s">
        <v>6</v>
      </c>
      <c r="D19" s="1" t="s">
        <v>21</v>
      </c>
      <c r="F19" s="1" t="str">
        <f>IFERROR(__xludf.DUMMYFUNCTION("""COMPUTED_VALUE"""),"172511")</f>
        <v>172511</v>
      </c>
      <c r="G19" s="4" t="str">
        <f t="shared" si="1"/>
        <v>10/18/2023</v>
      </c>
      <c r="H19" s="4" t="str">
        <f t="shared" si="2"/>
        <v>7/11/1945</v>
      </c>
      <c r="I19" s="4" t="str">
        <f t="shared" si="3"/>
        <v>Gold</v>
      </c>
      <c r="J19" s="4" t="str">
        <f t="shared" si="4"/>
        <v>Other</v>
      </c>
    </row>
    <row r="20" ht="14.25" customHeight="1">
      <c r="A20" s="1" t="s">
        <v>1534</v>
      </c>
      <c r="B20" s="1" t="s">
        <v>472</v>
      </c>
      <c r="C20" s="1" t="s">
        <v>7</v>
      </c>
      <c r="D20" s="1" t="s">
        <v>9</v>
      </c>
      <c r="F20" s="1" t="str">
        <f>IFERROR(__xludf.DUMMYFUNCTION("""COMPUTED_VALUE"""),"693419")</f>
        <v>693419</v>
      </c>
      <c r="G20" s="4" t="str">
        <f t="shared" si="1"/>
        <v>10/26/2023</v>
      </c>
      <c r="H20" s="4" t="str">
        <f t="shared" si="2"/>
        <v>2/27/1950</v>
      </c>
      <c r="I20" s="4" t="str">
        <f t="shared" si="3"/>
        <v>Gold</v>
      </c>
      <c r="J20" s="4" t="str">
        <f t="shared" si="4"/>
        <v>Black</v>
      </c>
    </row>
    <row r="21" ht="14.25" customHeight="1">
      <c r="A21" s="1" t="s">
        <v>1534</v>
      </c>
      <c r="B21" s="1" t="s">
        <v>472</v>
      </c>
      <c r="C21" s="1" t="s">
        <v>5</v>
      </c>
      <c r="D21" s="1" t="s">
        <v>1535</v>
      </c>
      <c r="F21" s="1" t="str">
        <f>IFERROR(__xludf.DUMMYFUNCTION("""COMPUTED_VALUE"""),"759289")</f>
        <v>759289</v>
      </c>
      <c r="G21" s="4" t="str">
        <f t="shared" si="1"/>
        <v>10/30/2023</v>
      </c>
      <c r="H21" s="4" t="str">
        <f t="shared" si="2"/>
        <v>8/9/1965</v>
      </c>
      <c r="I21" s="4" t="str">
        <f t="shared" si="3"/>
        <v>Platinum</v>
      </c>
      <c r="J21" s="4" t="str">
        <f t="shared" si="4"/>
        <v>Asian</v>
      </c>
    </row>
    <row r="22" ht="14.25" customHeight="1">
      <c r="A22" s="1" t="s">
        <v>1534</v>
      </c>
      <c r="B22" s="1" t="s">
        <v>472</v>
      </c>
      <c r="C22" s="1" t="s">
        <v>6</v>
      </c>
      <c r="D22" s="1" t="s">
        <v>15</v>
      </c>
      <c r="F22" s="1" t="str">
        <f>IFERROR(__xludf.DUMMYFUNCTION("""COMPUTED_VALUE"""),"897320")</f>
        <v>897320</v>
      </c>
      <c r="G22" s="4" t="str">
        <f t="shared" si="1"/>
        <v>10/31/2023</v>
      </c>
      <c r="H22" s="4" t="str">
        <f t="shared" si="2"/>
        <v>4/13/1978</v>
      </c>
      <c r="I22" s="4" t="str">
        <f t="shared" si="3"/>
        <v>Basic</v>
      </c>
      <c r="J22" s="4" t="str">
        <f t="shared" si="4"/>
        <v>White</v>
      </c>
    </row>
    <row r="23" ht="14.25" customHeight="1">
      <c r="A23" s="1" t="s">
        <v>1536</v>
      </c>
      <c r="B23" s="1" t="s">
        <v>273</v>
      </c>
      <c r="C23" s="1" t="s">
        <v>7</v>
      </c>
      <c r="D23" s="1" t="s">
        <v>13</v>
      </c>
      <c r="F23" s="1" t="str">
        <f>IFERROR(__xludf.DUMMYFUNCTION("""COMPUTED_VALUE"""),"762315")</f>
        <v>762315</v>
      </c>
      <c r="G23" s="4" t="str">
        <f t="shared" si="1"/>
        <v>10/22/2023</v>
      </c>
      <c r="H23" s="4" t="str">
        <f t="shared" si="2"/>
        <v>1/26/1940</v>
      </c>
      <c r="I23" s="4" t="str">
        <f t="shared" si="3"/>
        <v>Gold</v>
      </c>
      <c r="J23" s="4" t="str">
        <f t="shared" si="4"/>
        <v>White</v>
      </c>
    </row>
    <row r="24" ht="14.25" customHeight="1">
      <c r="A24" s="1" t="s">
        <v>1536</v>
      </c>
      <c r="B24" s="1" t="s">
        <v>273</v>
      </c>
      <c r="C24" s="1" t="s">
        <v>5</v>
      </c>
      <c r="D24" s="1" t="s">
        <v>1537</v>
      </c>
      <c r="F24" s="1" t="str">
        <f>IFERROR(__xludf.DUMMYFUNCTION("""COMPUTED_VALUE"""),"802490")</f>
        <v>802490</v>
      </c>
      <c r="G24" s="4" t="str">
        <f t="shared" si="1"/>
        <v>10/27/2023</v>
      </c>
      <c r="H24" s="4" t="str">
        <f t="shared" si="2"/>
        <v>5/13/1970</v>
      </c>
      <c r="I24" s="4" t="str">
        <f t="shared" si="3"/>
        <v>Basic</v>
      </c>
      <c r="J24" s="4" t="str">
        <f t="shared" si="4"/>
        <v>Other</v>
      </c>
    </row>
    <row r="25" ht="14.25" customHeight="1">
      <c r="A25" s="1" t="s">
        <v>1536</v>
      </c>
      <c r="B25" s="1" t="s">
        <v>273</v>
      </c>
      <c r="C25" s="1" t="s">
        <v>6</v>
      </c>
      <c r="D25" s="1" t="s">
        <v>11</v>
      </c>
      <c r="F25" s="1" t="str">
        <f>IFERROR(__xludf.DUMMYFUNCTION("""COMPUTED_VALUE"""),"701314")</f>
        <v>701314</v>
      </c>
      <c r="G25" s="4" t="str">
        <f t="shared" si="1"/>
        <v>10/24/2023</v>
      </c>
      <c r="H25" s="4" t="str">
        <f t="shared" si="2"/>
        <v>3/27/1981</v>
      </c>
      <c r="I25" s="4" t="str">
        <f t="shared" si="3"/>
        <v>Platinum</v>
      </c>
      <c r="J25" s="4" t="str">
        <f t="shared" si="4"/>
        <v>White</v>
      </c>
    </row>
    <row r="26" ht="14.25" customHeight="1">
      <c r="A26" s="1" t="s">
        <v>1538</v>
      </c>
      <c r="B26" s="1" t="s">
        <v>246</v>
      </c>
      <c r="C26" s="1" t="s">
        <v>7</v>
      </c>
      <c r="D26" s="1" t="s">
        <v>19</v>
      </c>
      <c r="F26" s="1" t="str">
        <f>IFERROR(__xludf.DUMMYFUNCTION("""COMPUTED_VALUE"""),"371271")</f>
        <v>371271</v>
      </c>
      <c r="G26" s="4" t="str">
        <f t="shared" si="1"/>
        <v>10/25/2023</v>
      </c>
      <c r="H26" s="4" t="str">
        <f t="shared" si="2"/>
        <v>8/28/2001</v>
      </c>
      <c r="I26" s="4" t="str">
        <f t="shared" si="3"/>
        <v>Basic</v>
      </c>
      <c r="J26" s="4" t="str">
        <f t="shared" si="4"/>
        <v>Other</v>
      </c>
    </row>
    <row r="27" ht="14.25" customHeight="1">
      <c r="A27" s="1" t="s">
        <v>1538</v>
      </c>
      <c r="B27" s="1" t="s">
        <v>246</v>
      </c>
      <c r="C27" s="1" t="s">
        <v>5</v>
      </c>
      <c r="D27" s="1" t="s">
        <v>1539</v>
      </c>
      <c r="F27" s="1" t="str">
        <f>IFERROR(__xludf.DUMMYFUNCTION("""COMPUTED_VALUE"""),"803346")</f>
        <v>803346</v>
      </c>
      <c r="G27" s="4" t="str">
        <f t="shared" si="1"/>
        <v>10/8/2023</v>
      </c>
      <c r="H27" s="4" t="str">
        <f t="shared" si="2"/>
        <v>9/17/2015</v>
      </c>
      <c r="I27" s="4" t="str">
        <f t="shared" si="3"/>
        <v>Gold</v>
      </c>
      <c r="J27" s="4" t="str">
        <f t="shared" si="4"/>
        <v>Other</v>
      </c>
    </row>
    <row r="28" ht="14.25" customHeight="1">
      <c r="A28" s="1" t="s">
        <v>1538</v>
      </c>
      <c r="B28" s="1" t="s">
        <v>246</v>
      </c>
      <c r="C28" s="1" t="s">
        <v>6</v>
      </c>
      <c r="D28" s="1" t="s">
        <v>15</v>
      </c>
      <c r="F28" s="1" t="str">
        <f>IFERROR(__xludf.DUMMYFUNCTION("""COMPUTED_VALUE"""),"677472")</f>
        <v>677472</v>
      </c>
      <c r="G28" s="4" t="str">
        <f t="shared" si="1"/>
        <v>10/16/2023</v>
      </c>
      <c r="H28" s="4" t="str">
        <f t="shared" si="2"/>
        <v>1/18/1996</v>
      </c>
      <c r="I28" s="4" t="str">
        <f t="shared" si="3"/>
        <v>Gold</v>
      </c>
      <c r="J28" s="4" t="str">
        <f t="shared" si="4"/>
        <v>Black</v>
      </c>
    </row>
    <row r="29" ht="14.25" customHeight="1">
      <c r="A29" s="1" t="s">
        <v>1540</v>
      </c>
      <c r="B29" s="1" t="s">
        <v>182</v>
      </c>
      <c r="C29" s="1" t="s">
        <v>7</v>
      </c>
      <c r="D29" s="1" t="s">
        <v>19</v>
      </c>
      <c r="F29" s="1" t="str">
        <f>IFERROR(__xludf.DUMMYFUNCTION("""COMPUTED_VALUE"""),"259388")</f>
        <v>259388</v>
      </c>
      <c r="G29" s="4" t="str">
        <f t="shared" si="1"/>
        <v>10/15/2023</v>
      </c>
      <c r="H29" s="4" t="str">
        <f t="shared" si="2"/>
        <v>8/29/1984</v>
      </c>
      <c r="I29" s="4" t="str">
        <f t="shared" si="3"/>
        <v>Platinum</v>
      </c>
      <c r="J29" s="4" t="str">
        <f t="shared" si="4"/>
        <v>Black</v>
      </c>
    </row>
    <row r="30" ht="14.25" customHeight="1">
      <c r="A30" s="1" t="s">
        <v>1540</v>
      </c>
      <c r="B30" s="1" t="s">
        <v>182</v>
      </c>
      <c r="C30" s="1" t="s">
        <v>5</v>
      </c>
      <c r="D30" s="1" t="s">
        <v>1541</v>
      </c>
      <c r="F30" s="1" t="str">
        <f>IFERROR(__xludf.DUMMYFUNCTION("""COMPUTED_VALUE"""),"435013")</f>
        <v>435013</v>
      </c>
      <c r="G30" s="4" t="str">
        <f t="shared" si="1"/>
        <v>10/18/2023</v>
      </c>
      <c r="H30" s="4" t="str">
        <f t="shared" si="2"/>
        <v>9/1/1998</v>
      </c>
      <c r="I30" s="4" t="str">
        <f t="shared" si="3"/>
        <v>Basic</v>
      </c>
      <c r="J30" s="4" t="str">
        <f t="shared" si="4"/>
        <v>Black</v>
      </c>
    </row>
    <row r="31" ht="14.25" customHeight="1">
      <c r="A31" s="1" t="s">
        <v>1540</v>
      </c>
      <c r="B31" s="1" t="s">
        <v>182</v>
      </c>
      <c r="C31" s="1" t="s">
        <v>6</v>
      </c>
      <c r="D31" s="1" t="s">
        <v>11</v>
      </c>
      <c r="F31" s="1" t="str">
        <f>IFERROR(__xludf.DUMMYFUNCTION("""COMPUTED_VALUE"""),"832494")</f>
        <v>832494</v>
      </c>
      <c r="G31" s="4" t="str">
        <f t="shared" si="1"/>
        <v>10/16/2023</v>
      </c>
      <c r="H31" s="4" t="str">
        <f t="shared" si="2"/>
        <v>6/23/1964</v>
      </c>
      <c r="I31" s="4" t="str">
        <f t="shared" si="3"/>
        <v>Gold</v>
      </c>
      <c r="J31" s="4" t="str">
        <f t="shared" si="4"/>
        <v>White</v>
      </c>
    </row>
    <row r="32" ht="14.25" customHeight="1">
      <c r="A32" s="1" t="s">
        <v>1542</v>
      </c>
      <c r="B32" s="1" t="s">
        <v>239</v>
      </c>
      <c r="C32" s="1" t="s">
        <v>7</v>
      </c>
      <c r="D32" s="1" t="s">
        <v>9</v>
      </c>
      <c r="F32" s="1" t="str">
        <f>IFERROR(__xludf.DUMMYFUNCTION("""COMPUTED_VALUE"""),"790504")</f>
        <v>790504</v>
      </c>
      <c r="G32" s="4" t="str">
        <f t="shared" si="1"/>
        <v>10/4/2023</v>
      </c>
      <c r="H32" s="4" t="str">
        <f t="shared" si="2"/>
        <v>6/13/1955</v>
      </c>
      <c r="I32" s="4" t="str">
        <f t="shared" si="3"/>
        <v>Platinum</v>
      </c>
      <c r="J32" s="4" t="str">
        <f t="shared" si="4"/>
        <v>White</v>
      </c>
    </row>
    <row r="33" ht="14.25" customHeight="1">
      <c r="A33" s="1" t="s">
        <v>1542</v>
      </c>
      <c r="B33" s="1" t="s">
        <v>239</v>
      </c>
      <c r="C33" s="1" t="s">
        <v>5</v>
      </c>
      <c r="D33" s="1" t="s">
        <v>1543</v>
      </c>
      <c r="F33" s="1" t="str">
        <f>IFERROR(__xludf.DUMMYFUNCTION("""COMPUTED_VALUE"""),"691430")</f>
        <v>691430</v>
      </c>
      <c r="G33" s="4" t="str">
        <f t="shared" si="1"/>
        <v>10/11/2023</v>
      </c>
      <c r="H33" s="4" t="str">
        <f t="shared" si="2"/>
        <v>4/25/1988</v>
      </c>
      <c r="I33" s="4" t="str">
        <f t="shared" si="3"/>
        <v>Platinum</v>
      </c>
      <c r="J33" s="4" t="str">
        <f t="shared" si="4"/>
        <v>Black</v>
      </c>
    </row>
    <row r="34" ht="14.25" customHeight="1">
      <c r="A34" s="1" t="s">
        <v>1542</v>
      </c>
      <c r="B34" s="1" t="s">
        <v>239</v>
      </c>
      <c r="C34" s="1" t="s">
        <v>6</v>
      </c>
      <c r="D34" s="1" t="s">
        <v>11</v>
      </c>
      <c r="F34" s="1" t="str">
        <f>IFERROR(__xludf.DUMMYFUNCTION("""COMPUTED_VALUE"""),"917106")</f>
        <v>917106</v>
      </c>
      <c r="G34" s="4" t="str">
        <f t="shared" si="1"/>
        <v>10/31/2023</v>
      </c>
      <c r="H34" s="4" t="str">
        <f t="shared" si="2"/>
        <v>10/16/1942</v>
      </c>
      <c r="I34" s="4" t="str">
        <f t="shared" si="3"/>
        <v>Platinum</v>
      </c>
      <c r="J34" s="4" t="str">
        <f t="shared" si="4"/>
        <v>Asian</v>
      </c>
    </row>
    <row r="35" ht="14.25" customHeight="1">
      <c r="A35" s="1" t="s">
        <v>1544</v>
      </c>
      <c r="B35" s="1" t="s">
        <v>203</v>
      </c>
      <c r="C35" s="1" t="s">
        <v>7</v>
      </c>
      <c r="D35" s="1" t="s">
        <v>9</v>
      </c>
      <c r="F35" s="1" t="str">
        <f>IFERROR(__xludf.DUMMYFUNCTION("""COMPUTED_VALUE"""),"762634")</f>
        <v>762634</v>
      </c>
      <c r="G35" s="4" t="str">
        <f t="shared" si="1"/>
        <v>10/19/2023</v>
      </c>
      <c r="H35" s="4" t="str">
        <f t="shared" si="2"/>
        <v>1/14/1980</v>
      </c>
      <c r="I35" s="4" t="str">
        <f t="shared" si="3"/>
        <v>Platinum</v>
      </c>
      <c r="J35" s="4" t="str">
        <f t="shared" si="4"/>
        <v>White</v>
      </c>
    </row>
    <row r="36" ht="14.25" customHeight="1">
      <c r="A36" s="1" t="s">
        <v>1544</v>
      </c>
      <c r="B36" s="1" t="s">
        <v>203</v>
      </c>
      <c r="C36" s="1" t="s">
        <v>5</v>
      </c>
      <c r="D36" s="1" t="s">
        <v>1545</v>
      </c>
      <c r="F36" s="1" t="str">
        <f>IFERROR(__xludf.DUMMYFUNCTION("""COMPUTED_VALUE"""),"125311")</f>
        <v>125311</v>
      </c>
      <c r="G36" s="4" t="str">
        <f t="shared" si="1"/>
        <v>10/1/2023</v>
      </c>
      <c r="H36" s="4" t="str">
        <f t="shared" si="2"/>
        <v>5/1/2008</v>
      </c>
      <c r="I36" s="4" t="str">
        <f t="shared" si="3"/>
        <v>Basic</v>
      </c>
      <c r="J36" s="4" t="str">
        <f t="shared" si="4"/>
        <v>Black</v>
      </c>
    </row>
    <row r="37" ht="14.25" customHeight="1">
      <c r="A37" s="1" t="s">
        <v>1544</v>
      </c>
      <c r="B37" s="1" t="s">
        <v>203</v>
      </c>
      <c r="C37" s="1" t="s">
        <v>6</v>
      </c>
      <c r="D37" s="1" t="s">
        <v>11</v>
      </c>
      <c r="F37" s="1" t="str">
        <f>IFERROR(__xludf.DUMMYFUNCTION("""COMPUTED_VALUE"""),"182986")</f>
        <v>182986</v>
      </c>
      <c r="G37" s="4" t="str">
        <f t="shared" si="1"/>
        <v>10/23/2023</v>
      </c>
      <c r="H37" s="4" t="str">
        <f t="shared" si="2"/>
        <v>1/1/2006</v>
      </c>
      <c r="I37" s="4" t="str">
        <f t="shared" si="3"/>
        <v>Basic</v>
      </c>
      <c r="J37" s="4" t="str">
        <f t="shared" si="4"/>
        <v>Other</v>
      </c>
    </row>
    <row r="38" ht="14.25" customHeight="1">
      <c r="A38" s="1" t="s">
        <v>1546</v>
      </c>
      <c r="B38" s="1" t="s">
        <v>324</v>
      </c>
      <c r="C38" s="1" t="s">
        <v>7</v>
      </c>
      <c r="D38" s="1" t="s">
        <v>9</v>
      </c>
      <c r="F38" s="1" t="str">
        <f>IFERROR(__xludf.DUMMYFUNCTION("""COMPUTED_VALUE"""),"346957")</f>
        <v>346957</v>
      </c>
      <c r="G38" s="4" t="str">
        <f t="shared" si="1"/>
        <v>10/14/2023</v>
      </c>
      <c r="H38" s="4" t="str">
        <f t="shared" si="2"/>
        <v>12/29/1990</v>
      </c>
      <c r="I38" s="4" t="str">
        <f t="shared" si="3"/>
        <v>Platinum</v>
      </c>
      <c r="J38" s="4" t="str">
        <f t="shared" si="4"/>
        <v>Asian</v>
      </c>
    </row>
    <row r="39" ht="14.25" customHeight="1">
      <c r="A39" s="1" t="s">
        <v>1546</v>
      </c>
      <c r="B39" s="1" t="s">
        <v>324</v>
      </c>
      <c r="C39" s="1" t="s">
        <v>5</v>
      </c>
      <c r="D39" s="1" t="s">
        <v>1547</v>
      </c>
      <c r="F39" s="1" t="str">
        <f>IFERROR(__xludf.DUMMYFUNCTION("""COMPUTED_VALUE"""),"942724")</f>
        <v>942724</v>
      </c>
      <c r="G39" s="4" t="str">
        <f t="shared" si="1"/>
        <v>10/9/2023</v>
      </c>
      <c r="H39" s="4" t="str">
        <f t="shared" si="2"/>
        <v>5/23/1979</v>
      </c>
      <c r="I39" s="4" t="str">
        <f t="shared" si="3"/>
        <v>Platinum</v>
      </c>
      <c r="J39" s="4" t="str">
        <f t="shared" si="4"/>
        <v>Black</v>
      </c>
    </row>
    <row r="40" ht="14.25" customHeight="1">
      <c r="A40" s="1" t="s">
        <v>1546</v>
      </c>
      <c r="B40" s="1" t="s">
        <v>324</v>
      </c>
      <c r="C40" s="1" t="s">
        <v>6</v>
      </c>
      <c r="D40" s="1" t="s">
        <v>15</v>
      </c>
      <c r="F40" s="1" t="str">
        <f>IFERROR(__xludf.DUMMYFUNCTION("""COMPUTED_VALUE"""),"503279")</f>
        <v>503279</v>
      </c>
      <c r="G40" s="4" t="str">
        <f t="shared" si="1"/>
        <v>10/17/2023</v>
      </c>
      <c r="H40" s="4" t="str">
        <f t="shared" si="2"/>
        <v>4/13/1967</v>
      </c>
      <c r="I40" s="4" t="str">
        <f t="shared" si="3"/>
        <v>Gold</v>
      </c>
      <c r="J40" s="4" t="str">
        <f t="shared" si="4"/>
        <v>White</v>
      </c>
    </row>
    <row r="41" ht="14.25" customHeight="1">
      <c r="A41" s="1" t="s">
        <v>1548</v>
      </c>
      <c r="B41" s="1" t="s">
        <v>211</v>
      </c>
      <c r="C41" s="1" t="s">
        <v>7</v>
      </c>
      <c r="D41" s="1" t="s">
        <v>19</v>
      </c>
      <c r="F41" s="1" t="str">
        <f>IFERROR(__xludf.DUMMYFUNCTION("""COMPUTED_VALUE"""),"217539")</f>
        <v>217539</v>
      </c>
      <c r="G41" s="4" t="str">
        <f t="shared" si="1"/>
        <v>10/29/2023</v>
      </c>
      <c r="H41" s="4" t="str">
        <f t="shared" si="2"/>
        <v>7/3/1954</v>
      </c>
      <c r="I41" s="4" t="str">
        <f t="shared" si="3"/>
        <v>Basic</v>
      </c>
      <c r="J41" s="4" t="str">
        <f t="shared" si="4"/>
        <v>White</v>
      </c>
    </row>
    <row r="42" ht="14.25" customHeight="1">
      <c r="A42" s="1" t="s">
        <v>1548</v>
      </c>
      <c r="B42" s="1" t="s">
        <v>211</v>
      </c>
      <c r="C42" s="1" t="s">
        <v>5</v>
      </c>
      <c r="D42" s="1" t="s">
        <v>1549</v>
      </c>
      <c r="F42" s="1" t="str">
        <f>IFERROR(__xludf.DUMMYFUNCTION("""COMPUTED_VALUE"""),"701647")</f>
        <v>701647</v>
      </c>
      <c r="G42" s="4" t="str">
        <f t="shared" si="1"/>
        <v>10/22/2023</v>
      </c>
      <c r="H42" s="4" t="str">
        <f t="shared" si="2"/>
        <v>4/27/1954</v>
      </c>
      <c r="I42" s="4" t="str">
        <f t="shared" si="3"/>
        <v>Platinum</v>
      </c>
      <c r="J42" s="4" t="str">
        <f t="shared" si="4"/>
        <v>Other</v>
      </c>
    </row>
    <row r="43" ht="14.25" customHeight="1">
      <c r="A43" s="1" t="s">
        <v>1548</v>
      </c>
      <c r="B43" s="1" t="s">
        <v>211</v>
      </c>
      <c r="C43" s="1" t="s">
        <v>6</v>
      </c>
      <c r="D43" s="1" t="s">
        <v>11</v>
      </c>
      <c r="F43" s="1" t="str">
        <f>IFERROR(__xludf.DUMMYFUNCTION("""COMPUTED_VALUE"""),"415762")</f>
        <v>415762</v>
      </c>
      <c r="G43" s="4" t="str">
        <f t="shared" si="1"/>
        <v>10/20/2023</v>
      </c>
      <c r="H43" s="4" t="str">
        <f t="shared" si="2"/>
        <v>11/3/1949</v>
      </c>
      <c r="I43" s="4" t="str">
        <f t="shared" si="3"/>
        <v>Basic</v>
      </c>
      <c r="J43" s="4" t="str">
        <f t="shared" si="4"/>
        <v>Black</v>
      </c>
    </row>
    <row r="44" ht="14.25" customHeight="1">
      <c r="A44" s="1" t="s">
        <v>1550</v>
      </c>
      <c r="B44" s="1" t="s">
        <v>236</v>
      </c>
      <c r="C44" s="1" t="s">
        <v>7</v>
      </c>
      <c r="D44" s="1" t="s">
        <v>25</v>
      </c>
      <c r="F44" s="1" t="str">
        <f>IFERROR(__xludf.DUMMYFUNCTION("""COMPUTED_VALUE"""),"769158")</f>
        <v>769158</v>
      </c>
      <c r="G44" s="4" t="str">
        <f t="shared" si="1"/>
        <v>10/12/2023</v>
      </c>
      <c r="H44" s="4" t="str">
        <f t="shared" si="2"/>
        <v>3/9/1996</v>
      </c>
      <c r="I44" s="4" t="str">
        <f t="shared" si="3"/>
        <v>Basic</v>
      </c>
      <c r="J44" s="4" t="str">
        <f t="shared" si="4"/>
        <v>Asian</v>
      </c>
    </row>
    <row r="45" ht="14.25" customHeight="1">
      <c r="A45" s="1" t="s">
        <v>1550</v>
      </c>
      <c r="B45" s="1" t="s">
        <v>236</v>
      </c>
      <c r="C45" s="1" t="s">
        <v>5</v>
      </c>
      <c r="D45" s="1" t="s">
        <v>1551</v>
      </c>
      <c r="F45" s="1" t="str">
        <f>IFERROR(__xludf.DUMMYFUNCTION("""COMPUTED_VALUE"""),"194394")</f>
        <v>194394</v>
      </c>
      <c r="G45" s="4" t="str">
        <f t="shared" si="1"/>
        <v>10/16/2023</v>
      </c>
      <c r="H45" s="4" t="str">
        <f t="shared" si="2"/>
        <v>6/18/1991</v>
      </c>
      <c r="I45" s="4" t="str">
        <f t="shared" si="3"/>
        <v>Gold</v>
      </c>
      <c r="J45" s="4" t="str">
        <f t="shared" si="4"/>
        <v>Asian</v>
      </c>
    </row>
    <row r="46" ht="14.25" customHeight="1">
      <c r="A46" s="1" t="s">
        <v>1550</v>
      </c>
      <c r="B46" s="1" t="s">
        <v>236</v>
      </c>
      <c r="C46" s="1" t="s">
        <v>6</v>
      </c>
      <c r="D46" s="1" t="s">
        <v>15</v>
      </c>
      <c r="F46" s="1" t="str">
        <f>IFERROR(__xludf.DUMMYFUNCTION("""COMPUTED_VALUE"""),"202437")</f>
        <v>202437</v>
      </c>
      <c r="G46" s="4" t="str">
        <f t="shared" si="1"/>
        <v>10/29/2023</v>
      </c>
      <c r="H46" s="4" t="str">
        <f t="shared" si="2"/>
        <v>12/30/1976</v>
      </c>
      <c r="I46" s="4" t="str">
        <f t="shared" si="3"/>
        <v>Platinum</v>
      </c>
      <c r="J46" s="4" t="str">
        <f t="shared" si="4"/>
        <v>Other</v>
      </c>
    </row>
    <row r="47" ht="14.25" customHeight="1">
      <c r="A47" s="1" t="s">
        <v>1552</v>
      </c>
      <c r="B47" s="1" t="s">
        <v>182</v>
      </c>
      <c r="C47" s="1" t="s">
        <v>7</v>
      </c>
      <c r="D47" s="1" t="s">
        <v>9</v>
      </c>
      <c r="F47" s="1" t="str">
        <f>IFERROR(__xludf.DUMMYFUNCTION("""COMPUTED_VALUE"""),"494925")</f>
        <v>494925</v>
      </c>
      <c r="G47" s="4" t="str">
        <f t="shared" si="1"/>
        <v>10/17/2023</v>
      </c>
      <c r="H47" s="4" t="str">
        <f t="shared" si="2"/>
        <v>11/29/1957</v>
      </c>
      <c r="I47" s="4" t="str">
        <f t="shared" si="3"/>
        <v>Platinum</v>
      </c>
      <c r="J47" s="4" t="str">
        <f t="shared" si="4"/>
        <v>Asian</v>
      </c>
    </row>
    <row r="48" ht="14.25" customHeight="1">
      <c r="A48" s="1" t="s">
        <v>1552</v>
      </c>
      <c r="B48" s="1" t="s">
        <v>182</v>
      </c>
      <c r="C48" s="1" t="s">
        <v>5</v>
      </c>
      <c r="D48" s="1" t="s">
        <v>1437</v>
      </c>
      <c r="F48" s="1" t="str">
        <f>IFERROR(__xludf.DUMMYFUNCTION("""COMPUTED_VALUE"""),"341542")</f>
        <v>341542</v>
      </c>
      <c r="G48" s="4" t="str">
        <f t="shared" si="1"/>
        <v>10/3/2023</v>
      </c>
      <c r="H48" s="4" t="str">
        <f t="shared" si="2"/>
        <v>12/26/1984</v>
      </c>
      <c r="I48" s="4" t="str">
        <f t="shared" si="3"/>
        <v>Gold</v>
      </c>
      <c r="J48" s="4" t="str">
        <f t="shared" si="4"/>
        <v>Black</v>
      </c>
    </row>
    <row r="49" ht="14.25" customHeight="1">
      <c r="A49" s="1" t="s">
        <v>1552</v>
      </c>
      <c r="B49" s="1" t="s">
        <v>182</v>
      </c>
      <c r="C49" s="1" t="s">
        <v>6</v>
      </c>
      <c r="D49" s="1" t="s">
        <v>11</v>
      </c>
      <c r="F49" s="1" t="str">
        <f>IFERROR(__xludf.DUMMYFUNCTION("""COMPUTED_VALUE"""),"559179")</f>
        <v>559179</v>
      </c>
      <c r="G49" s="4" t="str">
        <f t="shared" si="1"/>
        <v>10/22/2023</v>
      </c>
      <c r="H49" s="4" t="str">
        <f t="shared" si="2"/>
        <v>2/18/1979</v>
      </c>
      <c r="I49" s="4" t="str">
        <f t="shared" si="3"/>
        <v>Basic</v>
      </c>
      <c r="J49" s="4" t="str">
        <f t="shared" si="4"/>
        <v>Other</v>
      </c>
    </row>
    <row r="50" ht="14.25" customHeight="1">
      <c r="A50" s="1" t="s">
        <v>1553</v>
      </c>
      <c r="B50" s="1" t="s">
        <v>230</v>
      </c>
      <c r="C50" s="1" t="s">
        <v>7</v>
      </c>
      <c r="D50" s="1" t="s">
        <v>13</v>
      </c>
      <c r="F50" s="1" t="str">
        <f>IFERROR(__xludf.DUMMYFUNCTION("""COMPUTED_VALUE"""),"625189")</f>
        <v>625189</v>
      </c>
      <c r="G50" s="4" t="str">
        <f t="shared" si="1"/>
        <v>10/24/2023</v>
      </c>
      <c r="H50" s="4" t="str">
        <f t="shared" si="2"/>
        <v>7/19/1985</v>
      </c>
      <c r="I50" s="4" t="str">
        <f t="shared" si="3"/>
        <v>Gold</v>
      </c>
      <c r="J50" s="4" t="str">
        <f t="shared" si="4"/>
        <v>Other</v>
      </c>
    </row>
    <row r="51" ht="14.25" customHeight="1">
      <c r="A51" s="1" t="s">
        <v>1553</v>
      </c>
      <c r="B51" s="1" t="s">
        <v>230</v>
      </c>
      <c r="C51" s="1" t="s">
        <v>5</v>
      </c>
      <c r="D51" s="1" t="s">
        <v>1554</v>
      </c>
      <c r="F51" s="1" t="str">
        <f>IFERROR(__xludf.DUMMYFUNCTION("""COMPUTED_VALUE"""),"933326")</f>
        <v>933326</v>
      </c>
      <c r="G51" s="4" t="str">
        <f t="shared" si="1"/>
        <v>10/5/2023</v>
      </c>
      <c r="H51" s="4" t="str">
        <f t="shared" si="2"/>
        <v>10/6/2010</v>
      </c>
      <c r="I51" s="4" t="str">
        <f t="shared" si="3"/>
        <v>Gold</v>
      </c>
      <c r="J51" s="4" t="str">
        <f t="shared" si="4"/>
        <v>Other</v>
      </c>
    </row>
    <row r="52" ht="14.25" customHeight="1">
      <c r="A52" s="1" t="s">
        <v>1553</v>
      </c>
      <c r="B52" s="1" t="s">
        <v>230</v>
      </c>
      <c r="C52" s="1" t="s">
        <v>6</v>
      </c>
      <c r="D52" s="1" t="s">
        <v>11</v>
      </c>
      <c r="F52" s="1" t="str">
        <f>IFERROR(__xludf.DUMMYFUNCTION("""COMPUTED_VALUE"""),"507932")</f>
        <v>507932</v>
      </c>
      <c r="G52" s="4" t="str">
        <f t="shared" si="1"/>
        <v>10/29/2023</v>
      </c>
      <c r="H52" s="4" t="str">
        <f t="shared" si="2"/>
        <v>8/15/2005</v>
      </c>
      <c r="I52" s="4" t="str">
        <f t="shared" si="3"/>
        <v>Platinum</v>
      </c>
      <c r="J52" s="4" t="str">
        <f t="shared" si="4"/>
        <v>Asian</v>
      </c>
    </row>
    <row r="53" ht="14.25" customHeight="1">
      <c r="A53" s="1" t="s">
        <v>1555</v>
      </c>
      <c r="B53" s="1" t="s">
        <v>200</v>
      </c>
      <c r="C53" s="1" t="s">
        <v>7</v>
      </c>
      <c r="D53" s="1" t="s">
        <v>9</v>
      </c>
      <c r="F53" s="1" t="str">
        <f>IFERROR(__xludf.DUMMYFUNCTION("""COMPUTED_VALUE"""),"644707")</f>
        <v>644707</v>
      </c>
      <c r="G53" s="4" t="str">
        <f t="shared" si="1"/>
        <v>10/3/2023</v>
      </c>
      <c r="H53" s="4" t="str">
        <f t="shared" si="2"/>
        <v>7/5/1995</v>
      </c>
      <c r="I53" s="4" t="str">
        <f t="shared" si="3"/>
        <v>Platinum</v>
      </c>
      <c r="J53" s="4" t="str">
        <f t="shared" si="4"/>
        <v>White</v>
      </c>
    </row>
    <row r="54" ht="14.25" customHeight="1">
      <c r="A54" s="1" t="s">
        <v>1555</v>
      </c>
      <c r="B54" s="1" t="s">
        <v>200</v>
      </c>
      <c r="C54" s="1" t="s">
        <v>5</v>
      </c>
      <c r="D54" s="1" t="s">
        <v>1556</v>
      </c>
      <c r="F54" s="1" t="str">
        <f>IFERROR(__xludf.DUMMYFUNCTION("""COMPUTED_VALUE"""),"485637")</f>
        <v>485637</v>
      </c>
      <c r="G54" s="4" t="str">
        <f t="shared" si="1"/>
        <v>10/9/2023</v>
      </c>
      <c r="H54" s="4" t="str">
        <f t="shared" si="2"/>
        <v>10/20/2001</v>
      </c>
      <c r="I54" s="4" t="str">
        <f t="shared" si="3"/>
        <v>Basic</v>
      </c>
      <c r="J54" s="4" t="str">
        <f t="shared" si="4"/>
        <v>White</v>
      </c>
    </row>
    <row r="55" ht="14.25" customHeight="1">
      <c r="A55" s="1" t="s">
        <v>1555</v>
      </c>
      <c r="B55" s="1" t="s">
        <v>200</v>
      </c>
      <c r="C55" s="1" t="s">
        <v>6</v>
      </c>
      <c r="D55" s="1" t="s">
        <v>15</v>
      </c>
      <c r="F55" s="1" t="str">
        <f>IFERROR(__xludf.DUMMYFUNCTION("""COMPUTED_VALUE"""),"142674")</f>
        <v>142674</v>
      </c>
      <c r="G55" s="4" t="str">
        <f t="shared" si="1"/>
        <v>10/27/2023</v>
      </c>
      <c r="H55" s="4" t="str">
        <f t="shared" si="2"/>
        <v>9/2/1987</v>
      </c>
      <c r="I55" s="4" t="str">
        <f t="shared" si="3"/>
        <v>Basic</v>
      </c>
      <c r="J55" s="4" t="str">
        <f t="shared" si="4"/>
        <v>Other</v>
      </c>
    </row>
    <row r="56" ht="14.25" customHeight="1">
      <c r="A56" s="1" t="s">
        <v>1557</v>
      </c>
      <c r="B56" s="1" t="s">
        <v>230</v>
      </c>
      <c r="C56" s="1" t="s">
        <v>7</v>
      </c>
      <c r="D56" s="1" t="s">
        <v>25</v>
      </c>
      <c r="F56" s="1" t="str">
        <f>IFERROR(__xludf.DUMMYFUNCTION("""COMPUTED_VALUE"""),"540772")</f>
        <v>540772</v>
      </c>
      <c r="G56" s="4" t="str">
        <f t="shared" si="1"/>
        <v>10/1/2023</v>
      </c>
      <c r="H56" s="4" t="str">
        <f t="shared" si="2"/>
        <v>5/15/1957</v>
      </c>
      <c r="I56" s="4" t="str">
        <f t="shared" si="3"/>
        <v>Gold</v>
      </c>
      <c r="J56" s="4" t="str">
        <f t="shared" si="4"/>
        <v>Black</v>
      </c>
    </row>
    <row r="57" ht="14.25" customHeight="1">
      <c r="A57" s="1" t="s">
        <v>1557</v>
      </c>
      <c r="B57" s="1" t="s">
        <v>230</v>
      </c>
      <c r="C57" s="1" t="s">
        <v>5</v>
      </c>
      <c r="D57" s="1" t="s">
        <v>1558</v>
      </c>
      <c r="F57" s="1" t="str">
        <f>IFERROR(__xludf.DUMMYFUNCTION("""COMPUTED_VALUE"""),"963545")</f>
        <v>963545</v>
      </c>
      <c r="G57" s="4" t="str">
        <f t="shared" si="1"/>
        <v>10/15/2023</v>
      </c>
      <c r="H57" s="4" t="str">
        <f t="shared" si="2"/>
        <v>12/19/2001</v>
      </c>
      <c r="I57" s="4" t="str">
        <f t="shared" si="3"/>
        <v>Basic</v>
      </c>
      <c r="J57" s="4" t="str">
        <f t="shared" si="4"/>
        <v>White</v>
      </c>
    </row>
    <row r="58" ht="14.25" customHeight="1">
      <c r="A58" s="1" t="s">
        <v>1557</v>
      </c>
      <c r="B58" s="1" t="s">
        <v>230</v>
      </c>
      <c r="C58" s="1" t="s">
        <v>6</v>
      </c>
      <c r="D58" s="1" t="s">
        <v>15</v>
      </c>
      <c r="F58" s="1" t="str">
        <f>IFERROR(__xludf.DUMMYFUNCTION("""COMPUTED_VALUE"""),"919938")</f>
        <v>919938</v>
      </c>
      <c r="G58" s="4" t="str">
        <f t="shared" si="1"/>
        <v>10/31/2023</v>
      </c>
      <c r="H58" s="4" t="str">
        <f t="shared" si="2"/>
        <v>12/6/1995</v>
      </c>
      <c r="I58" s="4" t="str">
        <f t="shared" si="3"/>
        <v>Gold</v>
      </c>
      <c r="J58" s="4" t="str">
        <f t="shared" si="4"/>
        <v>White</v>
      </c>
    </row>
    <row r="59" ht="14.25" customHeight="1">
      <c r="A59" s="1" t="s">
        <v>1559</v>
      </c>
      <c r="B59" s="1" t="s">
        <v>472</v>
      </c>
      <c r="C59" s="1" t="s">
        <v>7</v>
      </c>
      <c r="D59" s="1" t="s">
        <v>19</v>
      </c>
      <c r="F59" s="1" t="str">
        <f>IFERROR(__xludf.DUMMYFUNCTION("""COMPUTED_VALUE"""),"167545")</f>
        <v>167545</v>
      </c>
      <c r="G59" s="4" t="str">
        <f t="shared" si="1"/>
        <v>10/23/2023</v>
      </c>
      <c r="H59" s="4" t="str">
        <f t="shared" si="2"/>
        <v>3/15/1987</v>
      </c>
      <c r="I59" s="4" t="str">
        <f t="shared" si="3"/>
        <v>Platinum</v>
      </c>
      <c r="J59" s="4" t="str">
        <f t="shared" si="4"/>
        <v>White</v>
      </c>
    </row>
    <row r="60" ht="14.25" customHeight="1">
      <c r="A60" s="1" t="s">
        <v>1559</v>
      </c>
      <c r="B60" s="1" t="s">
        <v>472</v>
      </c>
      <c r="C60" s="1" t="s">
        <v>5</v>
      </c>
      <c r="D60" s="1" t="s">
        <v>1560</v>
      </c>
      <c r="F60" s="1" t="str">
        <f>IFERROR(__xludf.DUMMYFUNCTION("""COMPUTED_VALUE"""),"439709")</f>
        <v>439709</v>
      </c>
      <c r="G60" s="4" t="str">
        <f t="shared" si="1"/>
        <v>10/5/2023</v>
      </c>
      <c r="H60" s="4" t="str">
        <f t="shared" si="2"/>
        <v>8/21/2009</v>
      </c>
      <c r="I60" s="4" t="str">
        <f t="shared" si="3"/>
        <v>Basic</v>
      </c>
      <c r="J60" s="4" t="str">
        <f t="shared" si="4"/>
        <v>Other</v>
      </c>
    </row>
    <row r="61" ht="14.25" customHeight="1">
      <c r="A61" s="1" t="s">
        <v>1559</v>
      </c>
      <c r="B61" s="1" t="s">
        <v>472</v>
      </c>
      <c r="C61" s="1" t="s">
        <v>6</v>
      </c>
      <c r="D61" s="1" t="s">
        <v>11</v>
      </c>
      <c r="F61" s="1" t="str">
        <f>IFERROR(__xludf.DUMMYFUNCTION("""COMPUTED_VALUE"""),"158058")</f>
        <v>158058</v>
      </c>
      <c r="G61" s="4" t="str">
        <f t="shared" si="1"/>
        <v>10/28/2023</v>
      </c>
      <c r="H61" s="4" t="str">
        <f t="shared" si="2"/>
        <v>2/7/1955</v>
      </c>
      <c r="I61" s="4" t="str">
        <f t="shared" si="3"/>
        <v>Platinum</v>
      </c>
      <c r="J61" s="4" t="str">
        <f t="shared" si="4"/>
        <v>Other</v>
      </c>
    </row>
    <row r="62" ht="14.25" customHeight="1">
      <c r="A62" s="1" t="s">
        <v>1561</v>
      </c>
      <c r="B62" s="1" t="s">
        <v>463</v>
      </c>
      <c r="C62" s="1" t="s">
        <v>7</v>
      </c>
      <c r="D62" s="1" t="s">
        <v>13</v>
      </c>
      <c r="F62" s="1" t="str">
        <f>IFERROR(__xludf.DUMMYFUNCTION("""COMPUTED_VALUE"""),"165263")</f>
        <v>165263</v>
      </c>
      <c r="G62" s="4" t="str">
        <f t="shared" si="1"/>
        <v>10/26/2023</v>
      </c>
      <c r="H62" s="4" t="str">
        <f t="shared" si="2"/>
        <v>10/15/1970</v>
      </c>
      <c r="I62" s="4" t="str">
        <f t="shared" si="3"/>
        <v>Platinum</v>
      </c>
      <c r="J62" s="4" t="str">
        <f t="shared" si="4"/>
        <v>Other</v>
      </c>
    </row>
    <row r="63" ht="14.25" customHeight="1">
      <c r="A63" s="1" t="s">
        <v>1561</v>
      </c>
      <c r="B63" s="1" t="s">
        <v>463</v>
      </c>
      <c r="C63" s="1" t="s">
        <v>5</v>
      </c>
      <c r="D63" s="1" t="s">
        <v>1562</v>
      </c>
      <c r="F63" s="1" t="str">
        <f>IFERROR(__xludf.DUMMYFUNCTION("""COMPUTED_VALUE"""),"234964")</f>
        <v>234964</v>
      </c>
      <c r="G63" s="4" t="str">
        <f t="shared" si="1"/>
        <v>10/10/2023</v>
      </c>
      <c r="H63" s="4" t="str">
        <f t="shared" si="2"/>
        <v>9/14/1962</v>
      </c>
      <c r="I63" s="4" t="str">
        <f t="shared" si="3"/>
        <v>Platinum</v>
      </c>
      <c r="J63" s="4" t="str">
        <f t="shared" si="4"/>
        <v>Other</v>
      </c>
    </row>
    <row r="64" ht="14.25" customHeight="1">
      <c r="A64" s="1" t="s">
        <v>1561</v>
      </c>
      <c r="B64" s="1" t="s">
        <v>463</v>
      </c>
      <c r="C64" s="1" t="s">
        <v>6</v>
      </c>
      <c r="D64" s="1" t="s">
        <v>21</v>
      </c>
      <c r="F64" s="1" t="str">
        <f>IFERROR(__xludf.DUMMYFUNCTION("""COMPUTED_VALUE"""),"804299")</f>
        <v>804299</v>
      </c>
      <c r="G64" s="4" t="str">
        <f t="shared" si="1"/>
        <v>10/6/2023</v>
      </c>
      <c r="H64" s="4" t="str">
        <f t="shared" si="2"/>
        <v>11/4/1957</v>
      </c>
      <c r="I64" s="4" t="str">
        <f t="shared" si="3"/>
        <v>Gold</v>
      </c>
      <c r="J64" s="4" t="str">
        <f t="shared" si="4"/>
        <v>Other</v>
      </c>
    </row>
    <row r="65" ht="14.25" customHeight="1">
      <c r="A65" s="1" t="s">
        <v>1563</v>
      </c>
      <c r="B65" s="1" t="s">
        <v>273</v>
      </c>
      <c r="C65" s="1" t="s">
        <v>7</v>
      </c>
      <c r="D65" s="1" t="s">
        <v>13</v>
      </c>
      <c r="F65" s="1" t="str">
        <f>IFERROR(__xludf.DUMMYFUNCTION("""COMPUTED_VALUE"""),"848472")</f>
        <v>848472</v>
      </c>
      <c r="G65" s="4" t="str">
        <f t="shared" si="1"/>
        <v>10/18/2023</v>
      </c>
      <c r="H65" s="4" t="str">
        <f t="shared" si="2"/>
        <v>10/20/2009</v>
      </c>
      <c r="I65" s="4" t="str">
        <f t="shared" si="3"/>
        <v>Gold</v>
      </c>
      <c r="J65" s="4" t="str">
        <f t="shared" si="4"/>
        <v>Other</v>
      </c>
    </row>
    <row r="66" ht="14.25" customHeight="1">
      <c r="A66" s="1" t="s">
        <v>1563</v>
      </c>
      <c r="B66" s="1" t="s">
        <v>273</v>
      </c>
      <c r="C66" s="1" t="s">
        <v>5</v>
      </c>
      <c r="D66" s="1" t="s">
        <v>1564</v>
      </c>
      <c r="F66" s="1" t="str">
        <f>IFERROR(__xludf.DUMMYFUNCTION("""COMPUTED_VALUE"""),"175875")</f>
        <v>175875</v>
      </c>
      <c r="G66" s="4" t="str">
        <f t="shared" si="1"/>
        <v>10/10/2023</v>
      </c>
      <c r="H66" s="4" t="str">
        <f t="shared" si="2"/>
        <v>11/19/1970</v>
      </c>
      <c r="I66" s="4" t="str">
        <f t="shared" si="3"/>
        <v>Gold</v>
      </c>
      <c r="J66" s="4" t="str">
        <f t="shared" si="4"/>
        <v>Asian</v>
      </c>
    </row>
    <row r="67" ht="14.25" customHeight="1">
      <c r="A67" s="1" t="s">
        <v>1563</v>
      </c>
      <c r="B67" s="1" t="s">
        <v>273</v>
      </c>
      <c r="C67" s="1" t="s">
        <v>6</v>
      </c>
      <c r="D67" s="1" t="s">
        <v>15</v>
      </c>
      <c r="F67" s="1" t="str">
        <f>IFERROR(__xludf.DUMMYFUNCTION("""COMPUTED_VALUE"""),"673020")</f>
        <v>673020</v>
      </c>
      <c r="G67" s="4" t="str">
        <f t="shared" si="1"/>
        <v>10/4/2023</v>
      </c>
      <c r="H67" s="4" t="str">
        <f t="shared" si="2"/>
        <v>11/30/1979</v>
      </c>
      <c r="I67" s="4" t="str">
        <f t="shared" si="3"/>
        <v>Platinum</v>
      </c>
      <c r="J67" s="4" t="str">
        <f t="shared" si="4"/>
        <v>Other</v>
      </c>
    </row>
    <row r="68" ht="14.25" customHeight="1">
      <c r="A68" s="1" t="s">
        <v>1565</v>
      </c>
      <c r="B68" s="1" t="s">
        <v>203</v>
      </c>
      <c r="C68" s="1" t="s">
        <v>7</v>
      </c>
      <c r="D68" s="1" t="s">
        <v>9</v>
      </c>
      <c r="F68" s="1" t="str">
        <f>IFERROR(__xludf.DUMMYFUNCTION("""COMPUTED_VALUE"""),"213994")</f>
        <v>213994</v>
      </c>
      <c r="G68" s="4" t="str">
        <f t="shared" si="1"/>
        <v>10/29/2023</v>
      </c>
      <c r="H68" s="4" t="str">
        <f t="shared" si="2"/>
        <v>4/16/1961</v>
      </c>
      <c r="I68" s="4" t="str">
        <f t="shared" si="3"/>
        <v>Gold</v>
      </c>
      <c r="J68" s="4" t="str">
        <f t="shared" si="4"/>
        <v>White</v>
      </c>
    </row>
    <row r="69" ht="14.25" customHeight="1">
      <c r="A69" s="1" t="s">
        <v>1565</v>
      </c>
      <c r="B69" s="1" t="s">
        <v>203</v>
      </c>
      <c r="C69" s="1" t="s">
        <v>5</v>
      </c>
      <c r="D69" s="1" t="s">
        <v>1566</v>
      </c>
      <c r="F69" s="1" t="str">
        <f>IFERROR(__xludf.DUMMYFUNCTION("""COMPUTED_VALUE"""),"851016")</f>
        <v>851016</v>
      </c>
      <c r="G69" s="4" t="str">
        <f t="shared" si="1"/>
        <v>10/18/2023</v>
      </c>
      <c r="H69" s="4" t="str">
        <f t="shared" si="2"/>
        <v>1/18/2010</v>
      </c>
      <c r="I69" s="4" t="str">
        <f t="shared" si="3"/>
        <v>Platinum</v>
      </c>
      <c r="J69" s="4" t="str">
        <f t="shared" si="4"/>
        <v>White</v>
      </c>
    </row>
    <row r="70" ht="14.25" customHeight="1">
      <c r="A70" s="1" t="s">
        <v>1565</v>
      </c>
      <c r="B70" s="1" t="s">
        <v>203</v>
      </c>
      <c r="C70" s="1" t="s">
        <v>6</v>
      </c>
      <c r="D70" s="1" t="s">
        <v>21</v>
      </c>
      <c r="F70" s="1" t="str">
        <f>IFERROR(__xludf.DUMMYFUNCTION("""COMPUTED_VALUE"""),"825555")</f>
        <v>825555</v>
      </c>
      <c r="G70" s="4" t="str">
        <f t="shared" si="1"/>
        <v>10/29/2023</v>
      </c>
      <c r="H70" s="4" t="str">
        <f t="shared" si="2"/>
        <v>11/10/2019</v>
      </c>
      <c r="I70" s="4" t="str">
        <f t="shared" si="3"/>
        <v>Platinum</v>
      </c>
      <c r="J70" s="4" t="str">
        <f t="shared" si="4"/>
        <v>Asian</v>
      </c>
    </row>
    <row r="71" ht="14.25" customHeight="1">
      <c r="A71" s="1" t="s">
        <v>1567</v>
      </c>
      <c r="B71" s="1" t="s">
        <v>239</v>
      </c>
      <c r="C71" s="1" t="s">
        <v>7</v>
      </c>
      <c r="D71" s="1" t="s">
        <v>13</v>
      </c>
      <c r="F71" s="1" t="str">
        <f>IFERROR(__xludf.DUMMYFUNCTION("""COMPUTED_VALUE"""),"388013")</f>
        <v>388013</v>
      </c>
      <c r="G71" s="4" t="str">
        <f t="shared" si="1"/>
        <v>10/27/2023</v>
      </c>
      <c r="H71" s="4" t="str">
        <f t="shared" si="2"/>
        <v>7/13/2018</v>
      </c>
      <c r="I71" s="4" t="str">
        <f t="shared" si="3"/>
        <v>Gold</v>
      </c>
      <c r="J71" s="4" t="str">
        <f t="shared" si="4"/>
        <v>Black</v>
      </c>
    </row>
    <row r="72" ht="14.25" customHeight="1">
      <c r="A72" s="1" t="s">
        <v>1567</v>
      </c>
      <c r="B72" s="1" t="s">
        <v>239</v>
      </c>
      <c r="C72" s="1" t="s">
        <v>5</v>
      </c>
      <c r="D72" s="1" t="s">
        <v>1568</v>
      </c>
      <c r="F72" s="1" t="str">
        <f>IFERROR(__xludf.DUMMYFUNCTION("""COMPUTED_VALUE"""),"285733")</f>
        <v>285733</v>
      </c>
      <c r="G72" s="4" t="str">
        <f t="shared" si="1"/>
        <v>10/16/2023</v>
      </c>
      <c r="H72" s="4" t="str">
        <f t="shared" si="2"/>
        <v>5/19/2000</v>
      </c>
      <c r="I72" s="4" t="str">
        <f t="shared" si="3"/>
        <v>Gold</v>
      </c>
      <c r="J72" s="4" t="str">
        <f t="shared" si="4"/>
        <v>Black</v>
      </c>
    </row>
    <row r="73" ht="14.25" customHeight="1">
      <c r="A73" s="1" t="s">
        <v>1567</v>
      </c>
      <c r="B73" s="1" t="s">
        <v>239</v>
      </c>
      <c r="C73" s="1" t="s">
        <v>6</v>
      </c>
      <c r="D73" s="1" t="s">
        <v>11</v>
      </c>
      <c r="F73" s="1" t="str">
        <f>IFERROR(__xludf.DUMMYFUNCTION("""COMPUTED_VALUE"""),"352431")</f>
        <v>352431</v>
      </c>
      <c r="G73" s="4" t="str">
        <f t="shared" si="1"/>
        <v>10/31/2023</v>
      </c>
      <c r="H73" s="4" t="str">
        <f t="shared" si="2"/>
        <v>12/2/1970</v>
      </c>
      <c r="I73" s="4" t="str">
        <f t="shared" si="3"/>
        <v>Basic</v>
      </c>
      <c r="J73" s="4" t="str">
        <f t="shared" si="4"/>
        <v>Asian</v>
      </c>
    </row>
    <row r="74" ht="14.25" customHeight="1">
      <c r="A74" s="1" t="s">
        <v>1569</v>
      </c>
      <c r="B74" s="1" t="s">
        <v>208</v>
      </c>
      <c r="C74" s="1" t="s">
        <v>7</v>
      </c>
      <c r="D74" s="1" t="s">
        <v>9</v>
      </c>
      <c r="F74" s="1" t="str">
        <f>IFERROR(__xludf.DUMMYFUNCTION("""COMPUTED_VALUE"""),"918029")</f>
        <v>918029</v>
      </c>
      <c r="G74" s="4" t="str">
        <f t="shared" si="1"/>
        <v>10/28/2023</v>
      </c>
      <c r="H74" s="4" t="str">
        <f t="shared" si="2"/>
        <v>11/21/1969</v>
      </c>
      <c r="I74" s="4" t="str">
        <f t="shared" si="3"/>
        <v>Gold</v>
      </c>
      <c r="J74" s="4" t="str">
        <f t="shared" si="4"/>
        <v>Black</v>
      </c>
    </row>
    <row r="75" ht="14.25" customHeight="1">
      <c r="A75" s="1" t="s">
        <v>1569</v>
      </c>
      <c r="B75" s="1" t="s">
        <v>208</v>
      </c>
      <c r="C75" s="1" t="s">
        <v>5</v>
      </c>
      <c r="D75" s="1" t="s">
        <v>1570</v>
      </c>
      <c r="F75" s="1" t="str">
        <f>IFERROR(__xludf.DUMMYFUNCTION("""COMPUTED_VALUE"""),"682556")</f>
        <v>682556</v>
      </c>
      <c r="G75" s="4" t="str">
        <f t="shared" si="1"/>
        <v>10/7/2023</v>
      </c>
      <c r="H75" s="4" t="str">
        <f t="shared" si="2"/>
        <v>9/30/1966</v>
      </c>
      <c r="I75" s="4" t="str">
        <f t="shared" si="3"/>
        <v>Gold</v>
      </c>
      <c r="J75" s="4" t="str">
        <f t="shared" si="4"/>
        <v>Black</v>
      </c>
    </row>
    <row r="76" ht="14.25" customHeight="1">
      <c r="A76" s="1" t="s">
        <v>1569</v>
      </c>
      <c r="B76" s="1" t="s">
        <v>208</v>
      </c>
      <c r="C76" s="1" t="s">
        <v>6</v>
      </c>
      <c r="D76" s="1" t="s">
        <v>21</v>
      </c>
      <c r="F76" s="1" t="str">
        <f>IFERROR(__xludf.DUMMYFUNCTION("""COMPUTED_VALUE"""),"405774")</f>
        <v>405774</v>
      </c>
      <c r="G76" s="4" t="str">
        <f t="shared" si="1"/>
        <v>10/5/2023</v>
      </c>
      <c r="H76" s="4" t="str">
        <f t="shared" si="2"/>
        <v>8/11/1993</v>
      </c>
      <c r="I76" s="4" t="str">
        <f t="shared" si="3"/>
        <v>Gold</v>
      </c>
      <c r="J76" s="4" t="str">
        <f t="shared" si="4"/>
        <v>Asian</v>
      </c>
    </row>
    <row r="77" ht="14.25" customHeight="1">
      <c r="A77" s="1" t="s">
        <v>1571</v>
      </c>
      <c r="B77" s="1" t="s">
        <v>191</v>
      </c>
      <c r="C77" s="1" t="s">
        <v>7</v>
      </c>
      <c r="D77" s="1" t="s">
        <v>9</v>
      </c>
      <c r="F77" s="1" t="str">
        <f>IFERROR(__xludf.DUMMYFUNCTION("""COMPUTED_VALUE"""),"920547")</f>
        <v>920547</v>
      </c>
      <c r="G77" s="4" t="str">
        <f t="shared" si="1"/>
        <v>10/29/2023</v>
      </c>
      <c r="H77" s="4" t="str">
        <f t="shared" si="2"/>
        <v>12/28/1943</v>
      </c>
      <c r="I77" s="4" t="str">
        <f t="shared" si="3"/>
        <v>Basic</v>
      </c>
      <c r="J77" s="4" t="str">
        <f t="shared" si="4"/>
        <v>Asian</v>
      </c>
    </row>
    <row r="78" ht="14.25" customHeight="1">
      <c r="A78" s="1" t="s">
        <v>1571</v>
      </c>
      <c r="B78" s="1" t="s">
        <v>191</v>
      </c>
      <c r="C78" s="1" t="s">
        <v>5</v>
      </c>
      <c r="D78" s="1" t="s">
        <v>1572</v>
      </c>
      <c r="F78" s="1" t="str">
        <f>IFERROR(__xludf.DUMMYFUNCTION("""COMPUTED_VALUE"""),"973755")</f>
        <v>973755</v>
      </c>
      <c r="G78" s="4" t="str">
        <f t="shared" si="1"/>
        <v>10/10/2023</v>
      </c>
      <c r="H78" s="4" t="str">
        <f t="shared" si="2"/>
        <v>1/12/1998</v>
      </c>
      <c r="I78" s="4" t="str">
        <f t="shared" si="3"/>
        <v>Platinum</v>
      </c>
      <c r="J78" s="4" t="str">
        <f t="shared" si="4"/>
        <v>Black</v>
      </c>
    </row>
    <row r="79" ht="14.25" customHeight="1">
      <c r="A79" s="1" t="s">
        <v>1571</v>
      </c>
      <c r="B79" s="1" t="s">
        <v>191</v>
      </c>
      <c r="C79" s="1" t="s">
        <v>6</v>
      </c>
      <c r="D79" s="1" t="s">
        <v>15</v>
      </c>
      <c r="F79" s="1" t="str">
        <f>IFERROR(__xludf.DUMMYFUNCTION("""COMPUTED_VALUE"""),"261886")</f>
        <v>261886</v>
      </c>
      <c r="G79" s="4" t="str">
        <f t="shared" si="1"/>
        <v>10/13/2023</v>
      </c>
      <c r="H79" s="4" t="str">
        <f t="shared" si="2"/>
        <v>5/23/1974</v>
      </c>
      <c r="I79" s="4" t="str">
        <f t="shared" si="3"/>
        <v>Basic</v>
      </c>
      <c r="J79" s="4" t="str">
        <f t="shared" si="4"/>
        <v>Asian</v>
      </c>
    </row>
    <row r="80" ht="14.25" customHeight="1">
      <c r="A80" s="1" t="s">
        <v>1573</v>
      </c>
      <c r="B80" s="1" t="s">
        <v>249</v>
      </c>
      <c r="C80" s="1" t="s">
        <v>7</v>
      </c>
      <c r="D80" s="1" t="s">
        <v>25</v>
      </c>
      <c r="F80" s="1" t="str">
        <f>IFERROR(__xludf.DUMMYFUNCTION("""COMPUTED_VALUE"""),"551306")</f>
        <v>551306</v>
      </c>
      <c r="G80" s="4" t="str">
        <f t="shared" si="1"/>
        <v>10/3/2023</v>
      </c>
      <c r="H80" s="4" t="str">
        <f t="shared" si="2"/>
        <v>2/6/2008</v>
      </c>
      <c r="I80" s="4" t="str">
        <f t="shared" si="3"/>
        <v>Gold</v>
      </c>
      <c r="J80" s="4" t="str">
        <f t="shared" si="4"/>
        <v>White</v>
      </c>
    </row>
    <row r="81" ht="14.25" customHeight="1">
      <c r="A81" s="1" t="s">
        <v>1573</v>
      </c>
      <c r="B81" s="1" t="s">
        <v>249</v>
      </c>
      <c r="C81" s="1" t="s">
        <v>5</v>
      </c>
      <c r="D81" s="1" t="s">
        <v>1574</v>
      </c>
      <c r="F81" s="1" t="str">
        <f>IFERROR(__xludf.DUMMYFUNCTION("""COMPUTED_VALUE"""),"326497")</f>
        <v>326497</v>
      </c>
      <c r="G81" s="4" t="str">
        <f t="shared" si="1"/>
        <v>10/11/2023</v>
      </c>
      <c r="H81" s="4" t="str">
        <f t="shared" si="2"/>
        <v>4/24/2013</v>
      </c>
      <c r="I81" s="4" t="str">
        <f t="shared" si="3"/>
        <v>Basic</v>
      </c>
      <c r="J81" s="4" t="str">
        <f t="shared" si="4"/>
        <v>Black</v>
      </c>
    </row>
    <row r="82" ht="14.25" customHeight="1">
      <c r="A82" s="1" t="s">
        <v>1573</v>
      </c>
      <c r="B82" s="1" t="s">
        <v>249</v>
      </c>
      <c r="C82" s="1" t="s">
        <v>6</v>
      </c>
      <c r="D82" s="1" t="s">
        <v>15</v>
      </c>
      <c r="F82" s="1" t="str">
        <f>IFERROR(__xludf.DUMMYFUNCTION("""COMPUTED_VALUE"""),"639158")</f>
        <v>639158</v>
      </c>
      <c r="G82" s="4" t="str">
        <f t="shared" si="1"/>
        <v>10/28/2023</v>
      </c>
      <c r="H82" s="4" t="str">
        <f t="shared" si="2"/>
        <v>9/29/1989</v>
      </c>
      <c r="I82" s="4" t="str">
        <f t="shared" si="3"/>
        <v>Platinum</v>
      </c>
      <c r="J82" s="4" t="str">
        <f t="shared" si="4"/>
        <v>White</v>
      </c>
    </row>
    <row r="83" ht="14.25" customHeight="1">
      <c r="A83" s="1" t="s">
        <v>1575</v>
      </c>
      <c r="B83" s="1" t="s">
        <v>264</v>
      </c>
      <c r="C83" s="1" t="s">
        <v>7</v>
      </c>
      <c r="D83" s="1" t="s">
        <v>25</v>
      </c>
      <c r="F83" s="1" t="str">
        <f>IFERROR(__xludf.DUMMYFUNCTION("""COMPUTED_VALUE"""),"401721")</f>
        <v>401721</v>
      </c>
      <c r="G83" s="4" t="str">
        <f t="shared" si="1"/>
        <v>10/8/2023</v>
      </c>
      <c r="H83" s="4" t="str">
        <f t="shared" si="2"/>
        <v>12/15/1955</v>
      </c>
      <c r="I83" s="4" t="str">
        <f t="shared" si="3"/>
        <v>Platinum</v>
      </c>
      <c r="J83" s="4" t="str">
        <f t="shared" si="4"/>
        <v>Other</v>
      </c>
    </row>
    <row r="84" ht="14.25" customHeight="1">
      <c r="A84" s="1" t="s">
        <v>1575</v>
      </c>
      <c r="B84" s="1" t="s">
        <v>264</v>
      </c>
      <c r="C84" s="1" t="s">
        <v>5</v>
      </c>
      <c r="D84" s="1" t="s">
        <v>1576</v>
      </c>
      <c r="F84" s="1" t="str">
        <f>IFERROR(__xludf.DUMMYFUNCTION("""COMPUTED_VALUE"""),"251536")</f>
        <v>251536</v>
      </c>
      <c r="G84" s="4" t="str">
        <f t="shared" si="1"/>
        <v>10/6/2023</v>
      </c>
      <c r="H84" s="4" t="str">
        <f t="shared" si="2"/>
        <v>5/14/1957</v>
      </c>
      <c r="I84" s="4" t="str">
        <f t="shared" si="3"/>
        <v>Basic</v>
      </c>
      <c r="J84" s="4" t="str">
        <f t="shared" si="4"/>
        <v>Asian</v>
      </c>
    </row>
    <row r="85" ht="14.25" customHeight="1">
      <c r="A85" s="1" t="s">
        <v>1575</v>
      </c>
      <c r="B85" s="1" t="s">
        <v>264</v>
      </c>
      <c r="C85" s="1" t="s">
        <v>6</v>
      </c>
      <c r="D85" s="1" t="s">
        <v>11</v>
      </c>
      <c r="F85" s="1" t="str">
        <f>IFERROR(__xludf.DUMMYFUNCTION("""COMPUTED_VALUE"""),"238622")</f>
        <v>238622</v>
      </c>
      <c r="G85" s="4" t="str">
        <f t="shared" si="1"/>
        <v>10/20/2023</v>
      </c>
      <c r="H85" s="4" t="str">
        <f t="shared" si="2"/>
        <v>10/27/1995</v>
      </c>
      <c r="I85" s="4" t="str">
        <f t="shared" si="3"/>
        <v>Gold</v>
      </c>
      <c r="J85" s="4" t="str">
        <f t="shared" si="4"/>
        <v>Asian</v>
      </c>
    </row>
    <row r="86" ht="14.25" customHeight="1">
      <c r="A86" s="1" t="s">
        <v>1577</v>
      </c>
      <c r="B86" s="1" t="s">
        <v>200</v>
      </c>
      <c r="C86" s="1" t="s">
        <v>7</v>
      </c>
      <c r="D86" s="1" t="s">
        <v>25</v>
      </c>
      <c r="F86" s="1" t="str">
        <f>IFERROR(__xludf.DUMMYFUNCTION("""COMPUTED_VALUE"""),"293767")</f>
        <v>293767</v>
      </c>
      <c r="G86" s="4" t="str">
        <f t="shared" si="1"/>
        <v>10/7/2023</v>
      </c>
      <c r="H86" s="4" t="str">
        <f t="shared" si="2"/>
        <v>1/16/2018</v>
      </c>
      <c r="I86" s="4" t="str">
        <f t="shared" si="3"/>
        <v>Platinum</v>
      </c>
      <c r="J86" s="4" t="str">
        <f t="shared" si="4"/>
        <v>Asian</v>
      </c>
    </row>
    <row r="87" ht="14.25" customHeight="1">
      <c r="A87" s="1" t="s">
        <v>1577</v>
      </c>
      <c r="B87" s="1" t="s">
        <v>200</v>
      </c>
      <c r="C87" s="1" t="s">
        <v>5</v>
      </c>
      <c r="D87" s="1" t="s">
        <v>1578</v>
      </c>
      <c r="F87" s="1" t="str">
        <f>IFERROR(__xludf.DUMMYFUNCTION("""COMPUTED_VALUE"""),"206041")</f>
        <v>206041</v>
      </c>
      <c r="G87" s="4" t="str">
        <f t="shared" si="1"/>
        <v>10/13/2023</v>
      </c>
      <c r="H87" s="4" t="str">
        <f t="shared" si="2"/>
        <v>10/18/2010</v>
      </c>
      <c r="I87" s="4" t="str">
        <f t="shared" si="3"/>
        <v>Gold</v>
      </c>
      <c r="J87" s="4" t="str">
        <f t="shared" si="4"/>
        <v>White</v>
      </c>
    </row>
    <row r="88" ht="14.25" customHeight="1">
      <c r="A88" s="1" t="s">
        <v>1577</v>
      </c>
      <c r="B88" s="1" t="s">
        <v>200</v>
      </c>
      <c r="C88" s="1" t="s">
        <v>6</v>
      </c>
      <c r="D88" s="1" t="s">
        <v>21</v>
      </c>
      <c r="F88" s="1" t="str">
        <f>IFERROR(__xludf.DUMMYFUNCTION("""COMPUTED_VALUE"""),"848661")</f>
        <v>848661</v>
      </c>
      <c r="G88" s="4" t="str">
        <f t="shared" si="1"/>
        <v>10/8/2023</v>
      </c>
      <c r="H88" s="4" t="str">
        <f t="shared" si="2"/>
        <v>12/2/1957</v>
      </c>
      <c r="I88" s="4" t="str">
        <f t="shared" si="3"/>
        <v>Platinum</v>
      </c>
      <c r="J88" s="4" t="str">
        <f t="shared" si="4"/>
        <v>Black</v>
      </c>
    </row>
    <row r="89" ht="14.25" customHeight="1">
      <c r="A89" s="1" t="s">
        <v>1579</v>
      </c>
      <c r="B89" s="1" t="s">
        <v>249</v>
      </c>
      <c r="C89" s="1" t="s">
        <v>7</v>
      </c>
      <c r="D89" s="1" t="s">
        <v>13</v>
      </c>
      <c r="F89" s="1" t="str">
        <f>IFERROR(__xludf.DUMMYFUNCTION("""COMPUTED_VALUE"""),"119971")</f>
        <v>119971</v>
      </c>
      <c r="G89" s="4" t="str">
        <f t="shared" si="1"/>
        <v>10/1/2023</v>
      </c>
      <c r="H89" s="4" t="str">
        <f t="shared" si="2"/>
        <v>5/21/1963</v>
      </c>
      <c r="I89" s="4" t="str">
        <f t="shared" si="3"/>
        <v>Basic</v>
      </c>
      <c r="J89" s="4" t="str">
        <f t="shared" si="4"/>
        <v>Asian</v>
      </c>
    </row>
    <row r="90" ht="14.25" customHeight="1">
      <c r="A90" s="1" t="s">
        <v>1579</v>
      </c>
      <c r="B90" s="1" t="s">
        <v>249</v>
      </c>
      <c r="C90" s="1" t="s">
        <v>5</v>
      </c>
      <c r="D90" s="1" t="s">
        <v>1580</v>
      </c>
      <c r="F90" s="1" t="str">
        <f>IFERROR(__xludf.DUMMYFUNCTION("""COMPUTED_VALUE"""),"593905")</f>
        <v>593905</v>
      </c>
      <c r="G90" s="4" t="str">
        <f t="shared" si="1"/>
        <v>10/27/2023</v>
      </c>
      <c r="H90" s="4" t="str">
        <f t="shared" si="2"/>
        <v>12/5/1961</v>
      </c>
      <c r="I90" s="4" t="str">
        <f t="shared" si="3"/>
        <v>Basic</v>
      </c>
      <c r="J90" s="4" t="str">
        <f t="shared" si="4"/>
        <v>Black</v>
      </c>
    </row>
    <row r="91" ht="14.25" customHeight="1">
      <c r="A91" s="1" t="s">
        <v>1579</v>
      </c>
      <c r="B91" s="1" t="s">
        <v>249</v>
      </c>
      <c r="C91" s="1" t="s">
        <v>6</v>
      </c>
      <c r="D91" s="1" t="s">
        <v>15</v>
      </c>
      <c r="F91" s="1" t="str">
        <f>IFERROR(__xludf.DUMMYFUNCTION("""COMPUTED_VALUE"""),"897163")</f>
        <v>897163</v>
      </c>
      <c r="G91" s="4" t="str">
        <f t="shared" si="1"/>
        <v>10/11/2023</v>
      </c>
      <c r="H91" s="4" t="str">
        <f t="shared" si="2"/>
        <v>10/5/1986</v>
      </c>
      <c r="I91" s="4" t="str">
        <f t="shared" si="3"/>
        <v>Platinum</v>
      </c>
      <c r="J91" s="4" t="str">
        <f t="shared" si="4"/>
        <v>Other</v>
      </c>
    </row>
    <row r="92" ht="14.25" customHeight="1">
      <c r="A92" s="1" t="s">
        <v>1581</v>
      </c>
      <c r="B92" s="1" t="s">
        <v>310</v>
      </c>
      <c r="C92" s="1" t="s">
        <v>7</v>
      </c>
      <c r="D92" s="1" t="s">
        <v>13</v>
      </c>
      <c r="F92" s="1" t="str">
        <f>IFERROR(__xludf.DUMMYFUNCTION("""COMPUTED_VALUE"""),"754452")</f>
        <v>754452</v>
      </c>
      <c r="G92" s="4" t="str">
        <f t="shared" si="1"/>
        <v>10/4/2023</v>
      </c>
      <c r="H92" s="4" t="str">
        <f t="shared" si="2"/>
        <v>11/13/1955</v>
      </c>
      <c r="I92" s="4" t="str">
        <f t="shared" si="3"/>
        <v>Basic</v>
      </c>
      <c r="J92" s="4" t="str">
        <f t="shared" si="4"/>
        <v>Other</v>
      </c>
    </row>
    <row r="93" ht="14.25" customHeight="1">
      <c r="A93" s="1" t="s">
        <v>1581</v>
      </c>
      <c r="B93" s="1" t="s">
        <v>310</v>
      </c>
      <c r="C93" s="1" t="s">
        <v>5</v>
      </c>
      <c r="D93" s="1" t="s">
        <v>1582</v>
      </c>
      <c r="F93" s="1" t="str">
        <f>IFERROR(__xludf.DUMMYFUNCTION("""COMPUTED_VALUE"""),"111501")</f>
        <v>111501</v>
      </c>
      <c r="G93" s="4" t="str">
        <f t="shared" si="1"/>
        <v>10/12/2023</v>
      </c>
      <c r="H93" s="4" t="str">
        <f t="shared" si="2"/>
        <v>5/3/1999</v>
      </c>
      <c r="I93" s="4" t="str">
        <f t="shared" si="3"/>
        <v>Gold</v>
      </c>
      <c r="J93" s="4" t="str">
        <f t="shared" si="4"/>
        <v>Black</v>
      </c>
    </row>
    <row r="94" ht="14.25" customHeight="1">
      <c r="A94" s="1" t="s">
        <v>1581</v>
      </c>
      <c r="B94" s="1" t="s">
        <v>310</v>
      </c>
      <c r="C94" s="1" t="s">
        <v>6</v>
      </c>
      <c r="D94" s="1" t="s">
        <v>11</v>
      </c>
      <c r="F94" s="1"/>
    </row>
    <row r="95" ht="14.25" customHeight="1">
      <c r="A95" s="1" t="s">
        <v>1583</v>
      </c>
      <c r="B95" s="1" t="s">
        <v>317</v>
      </c>
      <c r="C95" s="1" t="s">
        <v>7</v>
      </c>
      <c r="D95" s="1" t="s">
        <v>25</v>
      </c>
    </row>
    <row r="96" ht="14.25" customHeight="1">
      <c r="A96" s="1" t="s">
        <v>1583</v>
      </c>
      <c r="B96" s="1" t="s">
        <v>317</v>
      </c>
      <c r="C96" s="1" t="s">
        <v>5</v>
      </c>
      <c r="D96" s="1" t="s">
        <v>1584</v>
      </c>
    </row>
    <row r="97" ht="14.25" customHeight="1">
      <c r="A97" s="1" t="s">
        <v>1583</v>
      </c>
      <c r="B97" s="1" t="s">
        <v>317</v>
      </c>
      <c r="C97" s="1" t="s">
        <v>6</v>
      </c>
      <c r="D97" s="1" t="s">
        <v>11</v>
      </c>
    </row>
    <row r="98" ht="14.25" customHeight="1">
      <c r="A98" s="1" t="s">
        <v>1585</v>
      </c>
      <c r="B98" s="1" t="s">
        <v>463</v>
      </c>
      <c r="C98" s="1" t="s">
        <v>7</v>
      </c>
      <c r="D98" s="1" t="s">
        <v>19</v>
      </c>
    </row>
    <row r="99" ht="14.25" customHeight="1">
      <c r="A99" s="1" t="s">
        <v>1585</v>
      </c>
      <c r="B99" s="1" t="s">
        <v>463</v>
      </c>
      <c r="C99" s="1" t="s">
        <v>5</v>
      </c>
      <c r="D99" s="1" t="s">
        <v>1586</v>
      </c>
    </row>
    <row r="100" ht="14.25" customHeight="1">
      <c r="A100" s="1" t="s">
        <v>1585</v>
      </c>
      <c r="B100" s="1" t="s">
        <v>463</v>
      </c>
      <c r="C100" s="1" t="s">
        <v>6</v>
      </c>
      <c r="D100" s="1" t="s">
        <v>11</v>
      </c>
    </row>
    <row r="101" ht="14.25" customHeight="1">
      <c r="A101" s="1" t="s">
        <v>1587</v>
      </c>
      <c r="B101" s="1" t="s">
        <v>381</v>
      </c>
      <c r="C101" s="1" t="s">
        <v>7</v>
      </c>
      <c r="D101" s="1" t="s">
        <v>13</v>
      </c>
    </row>
    <row r="102" ht="14.25" customHeight="1">
      <c r="A102" s="1" t="s">
        <v>1587</v>
      </c>
      <c r="B102" s="1" t="s">
        <v>381</v>
      </c>
      <c r="C102" s="1" t="s">
        <v>5</v>
      </c>
      <c r="D102" s="1" t="s">
        <v>1588</v>
      </c>
    </row>
    <row r="103" ht="14.25" customHeight="1">
      <c r="A103" s="1" t="s">
        <v>1587</v>
      </c>
      <c r="B103" s="1" t="s">
        <v>381</v>
      </c>
      <c r="C103" s="1" t="s">
        <v>6</v>
      </c>
      <c r="D103" s="1" t="s">
        <v>11</v>
      </c>
    </row>
    <row r="104" ht="14.25" customHeight="1">
      <c r="A104" s="1" t="s">
        <v>1589</v>
      </c>
      <c r="B104" s="1" t="s">
        <v>188</v>
      </c>
      <c r="C104" s="1" t="s">
        <v>7</v>
      </c>
      <c r="D104" s="1" t="s">
        <v>25</v>
      </c>
    </row>
    <row r="105" ht="14.25" customHeight="1">
      <c r="A105" s="1" t="s">
        <v>1589</v>
      </c>
      <c r="B105" s="1" t="s">
        <v>188</v>
      </c>
      <c r="C105" s="1" t="s">
        <v>5</v>
      </c>
      <c r="D105" s="1" t="s">
        <v>1590</v>
      </c>
    </row>
    <row r="106" ht="14.25" customHeight="1">
      <c r="A106" s="1" t="s">
        <v>1589</v>
      </c>
      <c r="B106" s="1" t="s">
        <v>188</v>
      </c>
      <c r="C106" s="1" t="s">
        <v>6</v>
      </c>
      <c r="D106" s="1" t="s">
        <v>21</v>
      </c>
    </row>
    <row r="107" ht="14.25" customHeight="1">
      <c r="A107" s="1" t="s">
        <v>1591</v>
      </c>
      <c r="B107" s="1" t="s">
        <v>307</v>
      </c>
      <c r="C107" s="1" t="s">
        <v>7</v>
      </c>
      <c r="D107" s="1" t="s">
        <v>9</v>
      </c>
    </row>
    <row r="108" ht="14.25" customHeight="1">
      <c r="A108" s="1" t="s">
        <v>1591</v>
      </c>
      <c r="B108" s="1" t="s">
        <v>307</v>
      </c>
      <c r="C108" s="1" t="s">
        <v>5</v>
      </c>
      <c r="D108" s="1" t="s">
        <v>1592</v>
      </c>
    </row>
    <row r="109" ht="14.25" customHeight="1">
      <c r="A109" s="1" t="s">
        <v>1591</v>
      </c>
      <c r="B109" s="1" t="s">
        <v>307</v>
      </c>
      <c r="C109" s="1" t="s">
        <v>6</v>
      </c>
      <c r="D109" s="1" t="s">
        <v>21</v>
      </c>
    </row>
    <row r="110" ht="14.25" customHeight="1">
      <c r="A110" s="1" t="s">
        <v>1593</v>
      </c>
      <c r="B110" s="1" t="s">
        <v>214</v>
      </c>
      <c r="C110" s="1" t="s">
        <v>7</v>
      </c>
      <c r="D110" s="1" t="s">
        <v>19</v>
      </c>
    </row>
    <row r="111" ht="14.25" customHeight="1">
      <c r="A111" s="1" t="s">
        <v>1593</v>
      </c>
      <c r="B111" s="1" t="s">
        <v>214</v>
      </c>
      <c r="C111" s="1" t="s">
        <v>5</v>
      </c>
      <c r="D111" s="1" t="s">
        <v>1594</v>
      </c>
    </row>
    <row r="112" ht="14.25" customHeight="1">
      <c r="A112" s="1" t="s">
        <v>1593</v>
      </c>
      <c r="B112" s="1" t="s">
        <v>214</v>
      </c>
      <c r="C112" s="1" t="s">
        <v>6</v>
      </c>
      <c r="D112" s="1" t="s">
        <v>11</v>
      </c>
    </row>
    <row r="113" ht="14.25" customHeight="1">
      <c r="A113" s="1" t="s">
        <v>1595</v>
      </c>
      <c r="B113" s="1" t="s">
        <v>197</v>
      </c>
      <c r="C113" s="1" t="s">
        <v>7</v>
      </c>
      <c r="D113" s="1" t="s">
        <v>25</v>
      </c>
    </row>
    <row r="114" ht="14.25" customHeight="1">
      <c r="A114" s="1" t="s">
        <v>1595</v>
      </c>
      <c r="B114" s="1" t="s">
        <v>197</v>
      </c>
      <c r="C114" s="1" t="s">
        <v>5</v>
      </c>
      <c r="D114" s="1" t="s">
        <v>1596</v>
      </c>
    </row>
    <row r="115" ht="14.25" customHeight="1">
      <c r="A115" s="1" t="s">
        <v>1595</v>
      </c>
      <c r="B115" s="1" t="s">
        <v>197</v>
      </c>
      <c r="C115" s="1" t="s">
        <v>6</v>
      </c>
      <c r="D115" s="1" t="s">
        <v>11</v>
      </c>
    </row>
    <row r="116" ht="14.25" customHeight="1">
      <c r="A116" s="1" t="s">
        <v>1597</v>
      </c>
      <c r="B116" s="1" t="s">
        <v>223</v>
      </c>
      <c r="C116" s="1" t="s">
        <v>7</v>
      </c>
      <c r="D116" s="1" t="s">
        <v>13</v>
      </c>
    </row>
    <row r="117" ht="14.25" customHeight="1">
      <c r="A117" s="1" t="s">
        <v>1597</v>
      </c>
      <c r="B117" s="1" t="s">
        <v>223</v>
      </c>
      <c r="C117" s="1" t="s">
        <v>5</v>
      </c>
      <c r="D117" s="1" t="s">
        <v>1598</v>
      </c>
    </row>
    <row r="118" ht="14.25" customHeight="1">
      <c r="A118" s="1" t="s">
        <v>1597</v>
      </c>
      <c r="B118" s="1" t="s">
        <v>223</v>
      </c>
      <c r="C118" s="1" t="s">
        <v>6</v>
      </c>
      <c r="D118" s="1" t="s">
        <v>15</v>
      </c>
    </row>
    <row r="119" ht="14.25" customHeight="1">
      <c r="A119" s="1" t="s">
        <v>1599</v>
      </c>
      <c r="B119" s="1" t="s">
        <v>378</v>
      </c>
      <c r="C119" s="1" t="s">
        <v>7</v>
      </c>
      <c r="D119" s="1" t="s">
        <v>13</v>
      </c>
    </row>
    <row r="120" ht="14.25" customHeight="1">
      <c r="A120" s="1" t="s">
        <v>1599</v>
      </c>
      <c r="B120" s="1" t="s">
        <v>378</v>
      </c>
      <c r="C120" s="1" t="s">
        <v>5</v>
      </c>
      <c r="D120" s="1" t="s">
        <v>1600</v>
      </c>
    </row>
    <row r="121" ht="14.25" customHeight="1">
      <c r="A121" s="1" t="s">
        <v>1599</v>
      </c>
      <c r="B121" s="1" t="s">
        <v>378</v>
      </c>
      <c r="C121" s="1" t="s">
        <v>6</v>
      </c>
      <c r="D121" s="1" t="s">
        <v>21</v>
      </c>
    </row>
    <row r="122" ht="14.25" customHeight="1">
      <c r="A122" s="1" t="s">
        <v>1601</v>
      </c>
      <c r="B122" s="1" t="s">
        <v>273</v>
      </c>
      <c r="C122" s="1" t="s">
        <v>7</v>
      </c>
      <c r="D122" s="1" t="s">
        <v>9</v>
      </c>
    </row>
    <row r="123" ht="14.25" customHeight="1">
      <c r="A123" s="1" t="s">
        <v>1601</v>
      </c>
      <c r="B123" s="1" t="s">
        <v>273</v>
      </c>
      <c r="C123" s="1" t="s">
        <v>5</v>
      </c>
      <c r="D123" s="1" t="s">
        <v>1602</v>
      </c>
    </row>
    <row r="124" ht="14.25" customHeight="1">
      <c r="A124" s="1" t="s">
        <v>1601</v>
      </c>
      <c r="B124" s="1" t="s">
        <v>273</v>
      </c>
      <c r="C124" s="1" t="s">
        <v>6</v>
      </c>
      <c r="D124" s="1" t="s">
        <v>11</v>
      </c>
    </row>
    <row r="125" ht="14.25" customHeight="1">
      <c r="A125" s="1" t="s">
        <v>1603</v>
      </c>
      <c r="B125" s="1" t="s">
        <v>182</v>
      </c>
      <c r="C125" s="1" t="s">
        <v>7</v>
      </c>
      <c r="D125" s="1" t="s">
        <v>25</v>
      </c>
    </row>
    <row r="126" ht="14.25" customHeight="1">
      <c r="A126" s="1" t="s">
        <v>1603</v>
      </c>
      <c r="B126" s="1" t="s">
        <v>182</v>
      </c>
      <c r="C126" s="1" t="s">
        <v>5</v>
      </c>
      <c r="D126" s="1" t="s">
        <v>1604</v>
      </c>
    </row>
    <row r="127" ht="14.25" customHeight="1">
      <c r="A127" s="1" t="s">
        <v>1603</v>
      </c>
      <c r="B127" s="1" t="s">
        <v>182</v>
      </c>
      <c r="C127" s="1" t="s">
        <v>6</v>
      </c>
      <c r="D127" s="1" t="s">
        <v>21</v>
      </c>
    </row>
    <row r="128" ht="14.25" customHeight="1">
      <c r="A128" s="1" t="s">
        <v>1605</v>
      </c>
      <c r="B128" s="1" t="s">
        <v>324</v>
      </c>
      <c r="C128" s="1" t="s">
        <v>7</v>
      </c>
      <c r="D128" s="1" t="s">
        <v>19</v>
      </c>
    </row>
    <row r="129" ht="14.25" customHeight="1">
      <c r="A129" s="1" t="s">
        <v>1605</v>
      </c>
      <c r="B129" s="1" t="s">
        <v>324</v>
      </c>
      <c r="C129" s="1" t="s">
        <v>5</v>
      </c>
      <c r="D129" s="1" t="s">
        <v>1606</v>
      </c>
    </row>
    <row r="130" ht="14.25" customHeight="1">
      <c r="A130" s="1" t="s">
        <v>1605</v>
      </c>
      <c r="B130" s="1" t="s">
        <v>324</v>
      </c>
      <c r="C130" s="1" t="s">
        <v>6</v>
      </c>
      <c r="D130" s="1" t="s">
        <v>21</v>
      </c>
    </row>
    <row r="131" ht="14.25" customHeight="1">
      <c r="A131" s="1" t="s">
        <v>1607</v>
      </c>
      <c r="B131" s="1" t="s">
        <v>249</v>
      </c>
      <c r="C131" s="1" t="s">
        <v>7</v>
      </c>
      <c r="D131" s="1" t="s">
        <v>19</v>
      </c>
    </row>
    <row r="132" ht="14.25" customHeight="1">
      <c r="A132" s="1" t="s">
        <v>1607</v>
      </c>
      <c r="B132" s="1" t="s">
        <v>249</v>
      </c>
      <c r="C132" s="1" t="s">
        <v>5</v>
      </c>
      <c r="D132" s="1" t="s">
        <v>1608</v>
      </c>
    </row>
    <row r="133" ht="14.25" customHeight="1">
      <c r="A133" s="1" t="s">
        <v>1607</v>
      </c>
      <c r="B133" s="1" t="s">
        <v>249</v>
      </c>
      <c r="C133" s="1" t="s">
        <v>6</v>
      </c>
      <c r="D133" s="1" t="s">
        <v>15</v>
      </c>
    </row>
    <row r="134" ht="14.25" customHeight="1">
      <c r="A134" s="1" t="s">
        <v>1609</v>
      </c>
      <c r="B134" s="1" t="s">
        <v>378</v>
      </c>
      <c r="C134" s="1" t="s">
        <v>7</v>
      </c>
      <c r="D134" s="1" t="s">
        <v>9</v>
      </c>
    </row>
    <row r="135" ht="14.25" customHeight="1">
      <c r="A135" s="1" t="s">
        <v>1609</v>
      </c>
      <c r="B135" s="1" t="s">
        <v>378</v>
      </c>
      <c r="C135" s="1" t="s">
        <v>5</v>
      </c>
      <c r="D135" s="1" t="s">
        <v>1610</v>
      </c>
    </row>
    <row r="136" ht="14.25" customHeight="1">
      <c r="A136" s="1" t="s">
        <v>1609</v>
      </c>
      <c r="B136" s="1" t="s">
        <v>378</v>
      </c>
      <c r="C136" s="1" t="s">
        <v>6</v>
      </c>
      <c r="D136" s="1" t="s">
        <v>11</v>
      </c>
    </row>
    <row r="137" ht="14.25" customHeight="1">
      <c r="A137" s="1" t="s">
        <v>1611</v>
      </c>
      <c r="B137" s="1" t="s">
        <v>223</v>
      </c>
      <c r="C137" s="1" t="s">
        <v>7</v>
      </c>
      <c r="D137" s="1" t="s">
        <v>19</v>
      </c>
    </row>
    <row r="138" ht="14.25" customHeight="1">
      <c r="A138" s="1" t="s">
        <v>1611</v>
      </c>
      <c r="B138" s="1" t="s">
        <v>223</v>
      </c>
      <c r="C138" s="1" t="s">
        <v>5</v>
      </c>
      <c r="D138" s="1" t="s">
        <v>1612</v>
      </c>
    </row>
    <row r="139" ht="14.25" customHeight="1">
      <c r="A139" s="1" t="s">
        <v>1611</v>
      </c>
      <c r="B139" s="1" t="s">
        <v>223</v>
      </c>
      <c r="C139" s="1" t="s">
        <v>6</v>
      </c>
      <c r="D139" s="1" t="s">
        <v>11</v>
      </c>
    </row>
    <row r="140" ht="14.25" customHeight="1">
      <c r="A140" s="1" t="s">
        <v>1613</v>
      </c>
      <c r="B140" s="1" t="s">
        <v>292</v>
      </c>
      <c r="C140" s="1" t="s">
        <v>7</v>
      </c>
      <c r="D140" s="1" t="s">
        <v>25</v>
      </c>
    </row>
    <row r="141" ht="14.25" customHeight="1">
      <c r="A141" s="1" t="s">
        <v>1613</v>
      </c>
      <c r="B141" s="1" t="s">
        <v>292</v>
      </c>
      <c r="C141" s="1" t="s">
        <v>5</v>
      </c>
      <c r="D141" s="1" t="s">
        <v>1614</v>
      </c>
    </row>
    <row r="142" ht="14.25" customHeight="1">
      <c r="A142" s="1" t="s">
        <v>1613</v>
      </c>
      <c r="B142" s="1" t="s">
        <v>292</v>
      </c>
      <c r="C142" s="1" t="s">
        <v>6</v>
      </c>
      <c r="D142" s="1" t="s">
        <v>15</v>
      </c>
    </row>
    <row r="143" ht="14.25" customHeight="1">
      <c r="A143" s="1" t="s">
        <v>1615</v>
      </c>
      <c r="B143" s="1" t="s">
        <v>273</v>
      </c>
      <c r="C143" s="1" t="s">
        <v>7</v>
      </c>
      <c r="D143" s="1" t="s">
        <v>9</v>
      </c>
    </row>
    <row r="144" ht="14.25" customHeight="1">
      <c r="A144" s="1" t="s">
        <v>1615</v>
      </c>
      <c r="B144" s="1" t="s">
        <v>273</v>
      </c>
      <c r="C144" s="1" t="s">
        <v>5</v>
      </c>
      <c r="D144" s="1" t="s">
        <v>1616</v>
      </c>
    </row>
    <row r="145" ht="14.25" customHeight="1">
      <c r="A145" s="1" t="s">
        <v>1615</v>
      </c>
      <c r="B145" s="1" t="s">
        <v>273</v>
      </c>
      <c r="C145" s="1" t="s">
        <v>6</v>
      </c>
      <c r="D145" s="1" t="s">
        <v>21</v>
      </c>
    </row>
    <row r="146" ht="14.25" customHeight="1">
      <c r="A146" s="1" t="s">
        <v>1617</v>
      </c>
      <c r="B146" s="1" t="s">
        <v>239</v>
      </c>
      <c r="C146" s="1" t="s">
        <v>7</v>
      </c>
      <c r="D146" s="1" t="s">
        <v>9</v>
      </c>
    </row>
    <row r="147" ht="14.25" customHeight="1">
      <c r="A147" s="1" t="s">
        <v>1617</v>
      </c>
      <c r="B147" s="1" t="s">
        <v>239</v>
      </c>
      <c r="C147" s="1" t="s">
        <v>5</v>
      </c>
      <c r="D147" s="1" t="s">
        <v>1618</v>
      </c>
    </row>
    <row r="148" ht="14.25" customHeight="1">
      <c r="A148" s="1" t="s">
        <v>1617</v>
      </c>
      <c r="B148" s="1" t="s">
        <v>239</v>
      </c>
      <c r="C148" s="1" t="s">
        <v>6</v>
      </c>
      <c r="D148" s="1" t="s">
        <v>15</v>
      </c>
    </row>
    <row r="149" ht="14.25" customHeight="1">
      <c r="A149" s="1" t="s">
        <v>1619</v>
      </c>
      <c r="B149" s="1" t="s">
        <v>185</v>
      </c>
      <c r="C149" s="1" t="s">
        <v>7</v>
      </c>
      <c r="D149" s="1" t="s">
        <v>9</v>
      </c>
    </row>
    <row r="150" ht="14.25" customHeight="1">
      <c r="A150" s="1" t="s">
        <v>1619</v>
      </c>
      <c r="B150" s="1" t="s">
        <v>185</v>
      </c>
      <c r="C150" s="1" t="s">
        <v>5</v>
      </c>
      <c r="D150" s="1" t="s">
        <v>1620</v>
      </c>
    </row>
    <row r="151" ht="14.25" customHeight="1">
      <c r="A151" s="1" t="s">
        <v>1619</v>
      </c>
      <c r="B151" s="1" t="s">
        <v>185</v>
      </c>
      <c r="C151" s="1" t="s">
        <v>6</v>
      </c>
      <c r="D151" s="1" t="s">
        <v>15</v>
      </c>
    </row>
    <row r="152" ht="14.25" customHeight="1">
      <c r="A152" s="1" t="s">
        <v>1621</v>
      </c>
      <c r="B152" s="1" t="s">
        <v>378</v>
      </c>
      <c r="C152" s="1" t="s">
        <v>7</v>
      </c>
      <c r="D152" s="1" t="s">
        <v>19</v>
      </c>
    </row>
    <row r="153" ht="14.25" customHeight="1">
      <c r="A153" s="1" t="s">
        <v>1621</v>
      </c>
      <c r="B153" s="1" t="s">
        <v>378</v>
      </c>
      <c r="C153" s="1" t="s">
        <v>5</v>
      </c>
      <c r="D153" s="1" t="s">
        <v>1622</v>
      </c>
    </row>
    <row r="154" ht="14.25" customHeight="1">
      <c r="A154" s="1" t="s">
        <v>1621</v>
      </c>
      <c r="B154" s="1" t="s">
        <v>378</v>
      </c>
      <c r="C154" s="1" t="s">
        <v>6</v>
      </c>
      <c r="D154" s="1" t="s">
        <v>11</v>
      </c>
    </row>
    <row r="155" ht="14.25" customHeight="1">
      <c r="A155" s="1" t="s">
        <v>1623</v>
      </c>
      <c r="B155" s="1" t="s">
        <v>292</v>
      </c>
      <c r="C155" s="1" t="s">
        <v>7</v>
      </c>
      <c r="D155" s="1" t="s">
        <v>13</v>
      </c>
    </row>
    <row r="156" ht="14.25" customHeight="1">
      <c r="A156" s="1" t="s">
        <v>1623</v>
      </c>
      <c r="B156" s="1" t="s">
        <v>292</v>
      </c>
      <c r="C156" s="1" t="s">
        <v>5</v>
      </c>
      <c r="D156" s="1" t="s">
        <v>1624</v>
      </c>
    </row>
    <row r="157" ht="14.25" customHeight="1">
      <c r="A157" s="1" t="s">
        <v>1623</v>
      </c>
      <c r="B157" s="1" t="s">
        <v>292</v>
      </c>
      <c r="C157" s="1" t="s">
        <v>6</v>
      </c>
      <c r="D157" s="1" t="s">
        <v>11</v>
      </c>
    </row>
    <row r="158" ht="14.25" customHeight="1">
      <c r="A158" s="1" t="s">
        <v>1625</v>
      </c>
      <c r="B158" s="1" t="s">
        <v>197</v>
      </c>
      <c r="C158" s="1" t="s">
        <v>7</v>
      </c>
      <c r="D158" s="1" t="s">
        <v>13</v>
      </c>
    </row>
    <row r="159" ht="14.25" customHeight="1">
      <c r="A159" s="1" t="s">
        <v>1625</v>
      </c>
      <c r="B159" s="1" t="s">
        <v>197</v>
      </c>
      <c r="C159" s="1" t="s">
        <v>5</v>
      </c>
      <c r="D159" s="1" t="s">
        <v>1626</v>
      </c>
    </row>
    <row r="160" ht="14.25" customHeight="1">
      <c r="A160" s="1" t="s">
        <v>1625</v>
      </c>
      <c r="B160" s="1" t="s">
        <v>197</v>
      </c>
      <c r="C160" s="1" t="s">
        <v>6</v>
      </c>
      <c r="D160" s="1" t="s">
        <v>21</v>
      </c>
    </row>
    <row r="161" ht="14.25" customHeight="1">
      <c r="A161" s="1" t="s">
        <v>1627</v>
      </c>
      <c r="B161" s="1" t="s">
        <v>203</v>
      </c>
      <c r="C161" s="1" t="s">
        <v>7</v>
      </c>
      <c r="D161" s="1" t="s">
        <v>9</v>
      </c>
    </row>
    <row r="162" ht="14.25" customHeight="1">
      <c r="A162" s="1" t="s">
        <v>1627</v>
      </c>
      <c r="B162" s="1" t="s">
        <v>203</v>
      </c>
      <c r="C162" s="1" t="s">
        <v>5</v>
      </c>
      <c r="D162" s="1" t="s">
        <v>1628</v>
      </c>
    </row>
    <row r="163" ht="14.25" customHeight="1">
      <c r="A163" s="1" t="s">
        <v>1627</v>
      </c>
      <c r="B163" s="1" t="s">
        <v>203</v>
      </c>
      <c r="C163" s="1" t="s">
        <v>6</v>
      </c>
      <c r="D163" s="1" t="s">
        <v>21</v>
      </c>
    </row>
    <row r="164" ht="14.25" customHeight="1">
      <c r="A164" s="1" t="s">
        <v>1629</v>
      </c>
      <c r="B164" s="1" t="s">
        <v>188</v>
      </c>
      <c r="C164" s="1" t="s">
        <v>7</v>
      </c>
      <c r="D164" s="1" t="s">
        <v>25</v>
      </c>
    </row>
    <row r="165" ht="14.25" customHeight="1">
      <c r="A165" s="1" t="s">
        <v>1629</v>
      </c>
      <c r="B165" s="1" t="s">
        <v>188</v>
      </c>
      <c r="C165" s="1" t="s">
        <v>5</v>
      </c>
      <c r="D165" s="1" t="s">
        <v>1630</v>
      </c>
    </row>
    <row r="166" ht="14.25" customHeight="1">
      <c r="A166" s="1" t="s">
        <v>1629</v>
      </c>
      <c r="B166" s="1" t="s">
        <v>188</v>
      </c>
      <c r="C166" s="1" t="s">
        <v>6</v>
      </c>
      <c r="D166" s="1" t="s">
        <v>15</v>
      </c>
    </row>
    <row r="167" ht="14.25" customHeight="1">
      <c r="A167" s="1" t="s">
        <v>1631</v>
      </c>
      <c r="B167" s="1" t="s">
        <v>264</v>
      </c>
      <c r="C167" s="1" t="s">
        <v>7</v>
      </c>
      <c r="D167" s="1" t="s">
        <v>13</v>
      </c>
    </row>
    <row r="168" ht="14.25" customHeight="1">
      <c r="A168" s="1" t="s">
        <v>1631</v>
      </c>
      <c r="B168" s="1" t="s">
        <v>264</v>
      </c>
      <c r="C168" s="1" t="s">
        <v>5</v>
      </c>
      <c r="D168" s="1" t="s">
        <v>1632</v>
      </c>
    </row>
    <row r="169" ht="14.25" customHeight="1">
      <c r="A169" s="1" t="s">
        <v>1631</v>
      </c>
      <c r="B169" s="1" t="s">
        <v>264</v>
      </c>
      <c r="C169" s="1" t="s">
        <v>6</v>
      </c>
      <c r="D169" s="1" t="s">
        <v>21</v>
      </c>
    </row>
    <row r="170" ht="14.25" customHeight="1">
      <c r="A170" s="1" t="s">
        <v>1633</v>
      </c>
      <c r="B170" s="1" t="s">
        <v>463</v>
      </c>
      <c r="C170" s="1" t="s">
        <v>7</v>
      </c>
      <c r="D170" s="1" t="s">
        <v>13</v>
      </c>
    </row>
    <row r="171" ht="14.25" customHeight="1">
      <c r="A171" s="1" t="s">
        <v>1633</v>
      </c>
      <c r="B171" s="1" t="s">
        <v>463</v>
      </c>
      <c r="C171" s="1" t="s">
        <v>5</v>
      </c>
      <c r="D171" s="1" t="s">
        <v>1634</v>
      </c>
    </row>
    <row r="172" ht="14.25" customHeight="1">
      <c r="A172" s="1" t="s">
        <v>1633</v>
      </c>
      <c r="B172" s="1" t="s">
        <v>463</v>
      </c>
      <c r="C172" s="1" t="s">
        <v>6</v>
      </c>
      <c r="D172" s="1" t="s">
        <v>15</v>
      </c>
    </row>
    <row r="173" ht="14.25" customHeight="1">
      <c r="A173" s="1" t="s">
        <v>1635</v>
      </c>
      <c r="B173" s="1" t="s">
        <v>307</v>
      </c>
      <c r="C173" s="1" t="s">
        <v>7</v>
      </c>
      <c r="D173" s="1" t="s">
        <v>13</v>
      </c>
    </row>
    <row r="174" ht="14.25" customHeight="1">
      <c r="A174" s="1" t="s">
        <v>1635</v>
      </c>
      <c r="B174" s="1" t="s">
        <v>307</v>
      </c>
      <c r="C174" s="1" t="s">
        <v>5</v>
      </c>
      <c r="D174" s="1" t="s">
        <v>1636</v>
      </c>
    </row>
    <row r="175" ht="14.25" customHeight="1">
      <c r="A175" s="1" t="s">
        <v>1635</v>
      </c>
      <c r="B175" s="1" t="s">
        <v>307</v>
      </c>
      <c r="C175" s="1" t="s">
        <v>6</v>
      </c>
      <c r="D175" s="1" t="s">
        <v>11</v>
      </c>
    </row>
    <row r="176" ht="14.25" customHeight="1">
      <c r="A176" s="1" t="s">
        <v>1637</v>
      </c>
      <c r="B176" s="1" t="s">
        <v>185</v>
      </c>
      <c r="C176" s="1" t="s">
        <v>7</v>
      </c>
      <c r="D176" s="1" t="s">
        <v>9</v>
      </c>
    </row>
    <row r="177" ht="14.25" customHeight="1">
      <c r="A177" s="1" t="s">
        <v>1637</v>
      </c>
      <c r="B177" s="1" t="s">
        <v>185</v>
      </c>
      <c r="C177" s="1" t="s">
        <v>5</v>
      </c>
      <c r="D177" s="1" t="s">
        <v>781</v>
      </c>
    </row>
    <row r="178" ht="14.25" customHeight="1">
      <c r="A178" s="1" t="s">
        <v>1637</v>
      </c>
      <c r="B178" s="1" t="s">
        <v>185</v>
      </c>
      <c r="C178" s="1" t="s">
        <v>6</v>
      </c>
      <c r="D178" s="1" t="s">
        <v>21</v>
      </c>
    </row>
    <row r="179" ht="14.25" customHeight="1">
      <c r="A179" s="1" t="s">
        <v>1638</v>
      </c>
      <c r="B179" s="1" t="s">
        <v>211</v>
      </c>
      <c r="C179" s="1" t="s">
        <v>7</v>
      </c>
      <c r="D179" s="1" t="s">
        <v>9</v>
      </c>
    </row>
    <row r="180" ht="14.25" customHeight="1">
      <c r="A180" s="1" t="s">
        <v>1638</v>
      </c>
      <c r="B180" s="1" t="s">
        <v>211</v>
      </c>
      <c r="C180" s="1" t="s">
        <v>5</v>
      </c>
      <c r="D180" s="1" t="s">
        <v>1639</v>
      </c>
    </row>
    <row r="181" ht="14.25" customHeight="1">
      <c r="A181" s="1" t="s">
        <v>1638</v>
      </c>
      <c r="B181" s="1" t="s">
        <v>211</v>
      </c>
      <c r="C181" s="1" t="s">
        <v>6</v>
      </c>
      <c r="D181" s="1" t="s">
        <v>11</v>
      </c>
    </row>
    <row r="182" ht="14.25" customHeight="1">
      <c r="A182" s="1" t="s">
        <v>1640</v>
      </c>
      <c r="B182" s="1" t="s">
        <v>230</v>
      </c>
      <c r="C182" s="1" t="s">
        <v>7</v>
      </c>
      <c r="D182" s="1" t="s">
        <v>9</v>
      </c>
    </row>
    <row r="183" ht="14.25" customHeight="1">
      <c r="A183" s="1" t="s">
        <v>1640</v>
      </c>
      <c r="B183" s="1" t="s">
        <v>230</v>
      </c>
      <c r="C183" s="1" t="s">
        <v>5</v>
      </c>
      <c r="D183" s="1" t="s">
        <v>1641</v>
      </c>
    </row>
    <row r="184" ht="14.25" customHeight="1">
      <c r="A184" s="1" t="s">
        <v>1640</v>
      </c>
      <c r="B184" s="1" t="s">
        <v>230</v>
      </c>
      <c r="C184" s="1" t="s">
        <v>6</v>
      </c>
      <c r="D184" s="1" t="s">
        <v>11</v>
      </c>
    </row>
    <row r="185" ht="14.25" customHeight="1">
      <c r="A185" s="1" t="s">
        <v>1642</v>
      </c>
      <c r="B185" s="1" t="s">
        <v>233</v>
      </c>
      <c r="C185" s="1" t="s">
        <v>7</v>
      </c>
      <c r="D185" s="1" t="s">
        <v>9</v>
      </c>
    </row>
    <row r="186" ht="14.25" customHeight="1">
      <c r="A186" s="1" t="s">
        <v>1642</v>
      </c>
      <c r="B186" s="1" t="s">
        <v>233</v>
      </c>
      <c r="C186" s="1" t="s">
        <v>5</v>
      </c>
      <c r="D186" s="1" t="s">
        <v>1643</v>
      </c>
    </row>
    <row r="187" ht="14.25" customHeight="1">
      <c r="A187" s="1" t="s">
        <v>1642</v>
      </c>
      <c r="B187" s="1" t="s">
        <v>233</v>
      </c>
      <c r="C187" s="1" t="s">
        <v>6</v>
      </c>
      <c r="D187" s="1" t="s">
        <v>11</v>
      </c>
    </row>
    <row r="188" ht="14.25" customHeight="1">
      <c r="A188" s="1" t="s">
        <v>1644</v>
      </c>
      <c r="B188" s="1" t="s">
        <v>194</v>
      </c>
      <c r="C188" s="1" t="s">
        <v>7</v>
      </c>
      <c r="D188" s="1" t="s">
        <v>9</v>
      </c>
    </row>
    <row r="189" ht="14.25" customHeight="1">
      <c r="A189" s="1" t="s">
        <v>1644</v>
      </c>
      <c r="B189" s="1" t="s">
        <v>194</v>
      </c>
      <c r="C189" s="1" t="s">
        <v>5</v>
      </c>
      <c r="D189" s="1" t="s">
        <v>1645</v>
      </c>
    </row>
    <row r="190" ht="14.25" customHeight="1">
      <c r="A190" s="1" t="s">
        <v>1644</v>
      </c>
      <c r="B190" s="1" t="s">
        <v>194</v>
      </c>
      <c r="C190" s="1" t="s">
        <v>6</v>
      </c>
      <c r="D190" s="1" t="s">
        <v>15</v>
      </c>
    </row>
    <row r="191" ht="14.25" customHeight="1">
      <c r="A191" s="1" t="s">
        <v>1646</v>
      </c>
      <c r="B191" s="1" t="s">
        <v>200</v>
      </c>
      <c r="C191" s="1" t="s">
        <v>7</v>
      </c>
      <c r="D191" s="1" t="s">
        <v>9</v>
      </c>
    </row>
    <row r="192" ht="14.25" customHeight="1">
      <c r="A192" s="1" t="s">
        <v>1646</v>
      </c>
      <c r="B192" s="1" t="s">
        <v>200</v>
      </c>
      <c r="C192" s="1" t="s">
        <v>5</v>
      </c>
      <c r="D192" s="1" t="s">
        <v>1647</v>
      </c>
    </row>
    <row r="193" ht="14.25" customHeight="1">
      <c r="A193" s="1" t="s">
        <v>1646</v>
      </c>
      <c r="B193" s="1" t="s">
        <v>200</v>
      </c>
      <c r="C193" s="1" t="s">
        <v>6</v>
      </c>
      <c r="D193" s="1" t="s">
        <v>15</v>
      </c>
    </row>
    <row r="194" ht="14.25" customHeight="1">
      <c r="A194" s="1" t="s">
        <v>1648</v>
      </c>
      <c r="B194" s="1" t="s">
        <v>233</v>
      </c>
      <c r="C194" s="1" t="s">
        <v>7</v>
      </c>
      <c r="D194" s="1" t="s">
        <v>19</v>
      </c>
    </row>
    <row r="195" ht="14.25" customHeight="1">
      <c r="A195" s="1" t="s">
        <v>1648</v>
      </c>
      <c r="B195" s="1" t="s">
        <v>233</v>
      </c>
      <c r="C195" s="1" t="s">
        <v>5</v>
      </c>
      <c r="D195" s="1" t="s">
        <v>1649</v>
      </c>
    </row>
    <row r="196" ht="14.25" customHeight="1">
      <c r="A196" s="1" t="s">
        <v>1648</v>
      </c>
      <c r="B196" s="1" t="s">
        <v>233</v>
      </c>
      <c r="C196" s="1" t="s">
        <v>6</v>
      </c>
      <c r="D196" s="1" t="s">
        <v>15</v>
      </c>
    </row>
    <row r="197" ht="14.25" customHeight="1">
      <c r="A197" s="1" t="s">
        <v>1650</v>
      </c>
      <c r="B197" s="1" t="s">
        <v>310</v>
      </c>
      <c r="C197" s="1" t="s">
        <v>7</v>
      </c>
      <c r="D197" s="1" t="s">
        <v>9</v>
      </c>
    </row>
    <row r="198" ht="14.25" customHeight="1">
      <c r="A198" s="1" t="s">
        <v>1650</v>
      </c>
      <c r="B198" s="1" t="s">
        <v>310</v>
      </c>
      <c r="C198" s="1" t="s">
        <v>5</v>
      </c>
      <c r="D198" s="1" t="s">
        <v>1651</v>
      </c>
    </row>
    <row r="199" ht="14.25" customHeight="1">
      <c r="A199" s="1" t="s">
        <v>1650</v>
      </c>
      <c r="B199" s="1" t="s">
        <v>310</v>
      </c>
      <c r="C199" s="1" t="s">
        <v>6</v>
      </c>
      <c r="D199" s="1" t="s">
        <v>11</v>
      </c>
    </row>
    <row r="200" ht="14.25" customHeight="1">
      <c r="A200" s="1" t="s">
        <v>1652</v>
      </c>
      <c r="B200" s="1" t="s">
        <v>378</v>
      </c>
      <c r="C200" s="1" t="s">
        <v>7</v>
      </c>
      <c r="D200" s="1" t="s">
        <v>13</v>
      </c>
    </row>
    <row r="201" ht="14.25" customHeight="1">
      <c r="A201" s="1" t="s">
        <v>1652</v>
      </c>
      <c r="B201" s="1" t="s">
        <v>378</v>
      </c>
      <c r="C201" s="1" t="s">
        <v>5</v>
      </c>
      <c r="D201" s="1" t="s">
        <v>1653</v>
      </c>
    </row>
    <row r="202" ht="14.25" customHeight="1">
      <c r="A202" s="1" t="s">
        <v>1652</v>
      </c>
      <c r="B202" s="1" t="s">
        <v>378</v>
      </c>
      <c r="C202" s="1" t="s">
        <v>6</v>
      </c>
      <c r="D202" s="1" t="s">
        <v>15</v>
      </c>
    </row>
    <row r="203" ht="14.25" customHeight="1">
      <c r="A203" s="1" t="s">
        <v>1654</v>
      </c>
      <c r="B203" s="1" t="s">
        <v>200</v>
      </c>
      <c r="C203" s="1" t="s">
        <v>7</v>
      </c>
      <c r="D203" s="1" t="s">
        <v>13</v>
      </c>
    </row>
    <row r="204" ht="14.25" customHeight="1">
      <c r="A204" s="1" t="s">
        <v>1654</v>
      </c>
      <c r="B204" s="1" t="s">
        <v>200</v>
      </c>
      <c r="C204" s="1" t="s">
        <v>5</v>
      </c>
      <c r="D204" s="1" t="s">
        <v>1655</v>
      </c>
    </row>
    <row r="205" ht="14.25" customHeight="1">
      <c r="A205" s="1" t="s">
        <v>1654</v>
      </c>
      <c r="B205" s="1" t="s">
        <v>200</v>
      </c>
      <c r="C205" s="1" t="s">
        <v>6</v>
      </c>
      <c r="D205" s="1" t="s">
        <v>11</v>
      </c>
    </row>
    <row r="206" ht="14.25" customHeight="1">
      <c r="A206" s="1" t="s">
        <v>1656</v>
      </c>
      <c r="B206" s="1" t="s">
        <v>378</v>
      </c>
      <c r="C206" s="1" t="s">
        <v>7</v>
      </c>
      <c r="D206" s="1" t="s">
        <v>19</v>
      </c>
    </row>
    <row r="207" ht="14.25" customHeight="1">
      <c r="A207" s="1" t="s">
        <v>1656</v>
      </c>
      <c r="B207" s="1" t="s">
        <v>378</v>
      </c>
      <c r="C207" s="1" t="s">
        <v>5</v>
      </c>
      <c r="D207" s="1" t="s">
        <v>1657</v>
      </c>
    </row>
    <row r="208" ht="14.25" customHeight="1">
      <c r="A208" s="1" t="s">
        <v>1656</v>
      </c>
      <c r="B208" s="1" t="s">
        <v>378</v>
      </c>
      <c r="C208" s="1" t="s">
        <v>6</v>
      </c>
      <c r="D208" s="1" t="s">
        <v>11</v>
      </c>
    </row>
    <row r="209" ht="14.25" customHeight="1">
      <c r="A209" s="1" t="s">
        <v>1658</v>
      </c>
      <c r="B209" s="1" t="s">
        <v>203</v>
      </c>
      <c r="C209" s="1" t="s">
        <v>7</v>
      </c>
      <c r="D209" s="1" t="s">
        <v>25</v>
      </c>
    </row>
    <row r="210" ht="14.25" customHeight="1">
      <c r="A210" s="1" t="s">
        <v>1658</v>
      </c>
      <c r="B210" s="1" t="s">
        <v>203</v>
      </c>
      <c r="C210" s="1" t="s">
        <v>5</v>
      </c>
      <c r="D210" s="1" t="s">
        <v>1659</v>
      </c>
    </row>
    <row r="211" ht="14.25" customHeight="1">
      <c r="A211" s="1" t="s">
        <v>1658</v>
      </c>
      <c r="B211" s="1" t="s">
        <v>203</v>
      </c>
      <c r="C211" s="1" t="s">
        <v>6</v>
      </c>
      <c r="D211" s="1" t="s">
        <v>15</v>
      </c>
    </row>
    <row r="212" ht="14.25" customHeight="1">
      <c r="A212" s="1" t="s">
        <v>1660</v>
      </c>
      <c r="B212" s="1" t="s">
        <v>249</v>
      </c>
      <c r="C212" s="1" t="s">
        <v>7</v>
      </c>
      <c r="D212" s="1" t="s">
        <v>25</v>
      </c>
    </row>
    <row r="213" ht="14.25" customHeight="1">
      <c r="A213" s="1" t="s">
        <v>1660</v>
      </c>
      <c r="B213" s="1" t="s">
        <v>249</v>
      </c>
      <c r="C213" s="1" t="s">
        <v>5</v>
      </c>
      <c r="D213" s="1" t="s">
        <v>1661</v>
      </c>
    </row>
    <row r="214" ht="14.25" customHeight="1">
      <c r="A214" s="1" t="s">
        <v>1660</v>
      </c>
      <c r="B214" s="1" t="s">
        <v>249</v>
      </c>
      <c r="C214" s="1" t="s">
        <v>6</v>
      </c>
      <c r="D214" s="1" t="s">
        <v>15</v>
      </c>
    </row>
    <row r="215" ht="14.25" customHeight="1">
      <c r="A215" s="1" t="s">
        <v>1662</v>
      </c>
      <c r="B215" s="1" t="s">
        <v>463</v>
      </c>
      <c r="C215" s="1" t="s">
        <v>7</v>
      </c>
      <c r="D215" s="1" t="s">
        <v>19</v>
      </c>
    </row>
    <row r="216" ht="14.25" customHeight="1">
      <c r="A216" s="1" t="s">
        <v>1662</v>
      </c>
      <c r="B216" s="1" t="s">
        <v>463</v>
      </c>
      <c r="C216" s="1" t="s">
        <v>5</v>
      </c>
      <c r="D216" s="1" t="s">
        <v>1663</v>
      </c>
    </row>
    <row r="217" ht="14.25" customHeight="1">
      <c r="A217" s="1" t="s">
        <v>1662</v>
      </c>
      <c r="B217" s="1" t="s">
        <v>463</v>
      </c>
      <c r="C217" s="1" t="s">
        <v>6</v>
      </c>
      <c r="D217" s="1" t="s">
        <v>21</v>
      </c>
    </row>
    <row r="218" ht="14.25" customHeight="1">
      <c r="A218" s="1" t="s">
        <v>1664</v>
      </c>
      <c r="B218" s="1" t="s">
        <v>211</v>
      </c>
      <c r="C218" s="1" t="s">
        <v>7</v>
      </c>
      <c r="D218" s="1" t="s">
        <v>25</v>
      </c>
    </row>
    <row r="219" ht="14.25" customHeight="1">
      <c r="A219" s="1" t="s">
        <v>1664</v>
      </c>
      <c r="B219" s="1" t="s">
        <v>211</v>
      </c>
      <c r="C219" s="1" t="s">
        <v>5</v>
      </c>
      <c r="D219" s="1" t="s">
        <v>1665</v>
      </c>
    </row>
    <row r="220" ht="14.25" customHeight="1">
      <c r="A220" s="1" t="s">
        <v>1664</v>
      </c>
      <c r="B220" s="1" t="s">
        <v>211</v>
      </c>
      <c r="C220" s="1" t="s">
        <v>6</v>
      </c>
      <c r="D220" s="1" t="s">
        <v>15</v>
      </c>
    </row>
    <row r="221" ht="14.25" customHeight="1">
      <c r="A221" s="1" t="s">
        <v>1666</v>
      </c>
      <c r="B221" s="1" t="s">
        <v>246</v>
      </c>
      <c r="C221" s="1" t="s">
        <v>7</v>
      </c>
      <c r="D221" s="1" t="s">
        <v>25</v>
      </c>
    </row>
    <row r="222" ht="14.25" customHeight="1">
      <c r="A222" s="1" t="s">
        <v>1666</v>
      </c>
      <c r="B222" s="1" t="s">
        <v>246</v>
      </c>
      <c r="C222" s="1" t="s">
        <v>5</v>
      </c>
      <c r="D222" s="1" t="s">
        <v>1667</v>
      </c>
    </row>
    <row r="223" ht="14.25" customHeight="1">
      <c r="A223" s="1" t="s">
        <v>1666</v>
      </c>
      <c r="B223" s="1" t="s">
        <v>246</v>
      </c>
      <c r="C223" s="1" t="s">
        <v>6</v>
      </c>
      <c r="D223" s="1" t="s">
        <v>15</v>
      </c>
    </row>
    <row r="224" ht="14.25" customHeight="1">
      <c r="A224" s="1" t="s">
        <v>1668</v>
      </c>
      <c r="B224" s="1" t="s">
        <v>185</v>
      </c>
      <c r="C224" s="1" t="s">
        <v>7</v>
      </c>
      <c r="D224" s="1" t="s">
        <v>19</v>
      </c>
    </row>
    <row r="225" ht="14.25" customHeight="1">
      <c r="A225" s="1" t="s">
        <v>1668</v>
      </c>
      <c r="B225" s="1" t="s">
        <v>185</v>
      </c>
      <c r="C225" s="1" t="s">
        <v>5</v>
      </c>
      <c r="D225" s="1" t="s">
        <v>1669</v>
      </c>
    </row>
    <row r="226" ht="14.25" customHeight="1">
      <c r="A226" s="1" t="s">
        <v>1668</v>
      </c>
      <c r="B226" s="1" t="s">
        <v>185</v>
      </c>
      <c r="C226" s="1" t="s">
        <v>6</v>
      </c>
      <c r="D226" s="1" t="s">
        <v>15</v>
      </c>
    </row>
    <row r="227" ht="14.25" customHeight="1">
      <c r="A227" s="1" t="s">
        <v>1670</v>
      </c>
      <c r="B227" s="1" t="s">
        <v>378</v>
      </c>
      <c r="C227" s="1" t="s">
        <v>7</v>
      </c>
      <c r="D227" s="1" t="s">
        <v>19</v>
      </c>
    </row>
    <row r="228" ht="14.25" customHeight="1">
      <c r="A228" s="1" t="s">
        <v>1670</v>
      </c>
      <c r="B228" s="1" t="s">
        <v>378</v>
      </c>
      <c r="C228" s="1" t="s">
        <v>5</v>
      </c>
      <c r="D228" s="1" t="s">
        <v>1671</v>
      </c>
    </row>
    <row r="229" ht="14.25" customHeight="1">
      <c r="A229" s="1" t="s">
        <v>1670</v>
      </c>
      <c r="B229" s="1" t="s">
        <v>378</v>
      </c>
      <c r="C229" s="1" t="s">
        <v>6</v>
      </c>
      <c r="D229" s="1" t="s">
        <v>21</v>
      </c>
    </row>
    <row r="230" ht="14.25" customHeight="1">
      <c r="A230" s="1" t="s">
        <v>1672</v>
      </c>
      <c r="B230" s="1" t="s">
        <v>233</v>
      </c>
      <c r="C230" s="1" t="s">
        <v>7</v>
      </c>
      <c r="D230" s="1" t="s">
        <v>25</v>
      </c>
    </row>
    <row r="231" ht="14.25" customHeight="1">
      <c r="A231" s="1" t="s">
        <v>1672</v>
      </c>
      <c r="B231" s="1" t="s">
        <v>233</v>
      </c>
      <c r="C231" s="1" t="s">
        <v>5</v>
      </c>
      <c r="D231" s="1" t="s">
        <v>1673</v>
      </c>
    </row>
    <row r="232" ht="14.25" customHeight="1">
      <c r="A232" s="1" t="s">
        <v>1672</v>
      </c>
      <c r="B232" s="1" t="s">
        <v>233</v>
      </c>
      <c r="C232" s="1" t="s">
        <v>6</v>
      </c>
      <c r="D232" s="1" t="s">
        <v>11</v>
      </c>
    </row>
    <row r="233" ht="14.25" customHeight="1">
      <c r="A233" s="1" t="s">
        <v>1674</v>
      </c>
      <c r="B233" s="1" t="s">
        <v>398</v>
      </c>
      <c r="C233" s="1" t="s">
        <v>7</v>
      </c>
      <c r="D233" s="1" t="s">
        <v>19</v>
      </c>
    </row>
    <row r="234" ht="14.25" customHeight="1">
      <c r="A234" s="1" t="s">
        <v>1674</v>
      </c>
      <c r="B234" s="1" t="s">
        <v>398</v>
      </c>
      <c r="C234" s="1" t="s">
        <v>5</v>
      </c>
      <c r="D234" s="1" t="s">
        <v>1675</v>
      </c>
    </row>
    <row r="235" ht="14.25" customHeight="1">
      <c r="A235" s="1" t="s">
        <v>1674</v>
      </c>
      <c r="B235" s="1" t="s">
        <v>398</v>
      </c>
      <c r="C235" s="1" t="s">
        <v>6</v>
      </c>
      <c r="D235" s="1" t="s">
        <v>21</v>
      </c>
    </row>
    <row r="236" ht="14.25" customHeight="1">
      <c r="A236" s="1" t="s">
        <v>1676</v>
      </c>
      <c r="B236" s="1" t="s">
        <v>292</v>
      </c>
      <c r="C236" s="1" t="s">
        <v>7</v>
      </c>
      <c r="D236" s="1" t="s">
        <v>13</v>
      </c>
    </row>
    <row r="237" ht="14.25" customHeight="1">
      <c r="A237" s="1" t="s">
        <v>1676</v>
      </c>
      <c r="B237" s="1" t="s">
        <v>292</v>
      </c>
      <c r="C237" s="1" t="s">
        <v>5</v>
      </c>
      <c r="D237" s="1" t="s">
        <v>1677</v>
      </c>
    </row>
    <row r="238" ht="14.25" customHeight="1">
      <c r="A238" s="1" t="s">
        <v>1676</v>
      </c>
      <c r="B238" s="1" t="s">
        <v>292</v>
      </c>
      <c r="C238" s="1" t="s">
        <v>6</v>
      </c>
      <c r="D238" s="1" t="s">
        <v>15</v>
      </c>
    </row>
    <row r="239" ht="14.25" customHeight="1">
      <c r="A239" s="1" t="s">
        <v>1678</v>
      </c>
      <c r="B239" s="1" t="s">
        <v>317</v>
      </c>
      <c r="C239" s="1" t="s">
        <v>7</v>
      </c>
      <c r="D239" s="1" t="s">
        <v>25</v>
      </c>
    </row>
    <row r="240" ht="14.25" customHeight="1">
      <c r="A240" s="1" t="s">
        <v>1678</v>
      </c>
      <c r="B240" s="1" t="s">
        <v>317</v>
      </c>
      <c r="C240" s="1" t="s">
        <v>5</v>
      </c>
      <c r="D240" s="1" t="s">
        <v>1679</v>
      </c>
    </row>
    <row r="241" ht="14.25" customHeight="1">
      <c r="A241" s="1" t="s">
        <v>1678</v>
      </c>
      <c r="B241" s="1" t="s">
        <v>317</v>
      </c>
      <c r="C241" s="1" t="s">
        <v>6</v>
      </c>
      <c r="D241" s="1" t="s">
        <v>21</v>
      </c>
    </row>
    <row r="242" ht="14.25" customHeight="1">
      <c r="A242" s="1" t="s">
        <v>1680</v>
      </c>
      <c r="B242" s="1" t="s">
        <v>211</v>
      </c>
      <c r="C242" s="1" t="s">
        <v>7</v>
      </c>
      <c r="D242" s="1" t="s">
        <v>13</v>
      </c>
    </row>
    <row r="243" ht="14.25" customHeight="1">
      <c r="A243" s="1" t="s">
        <v>1680</v>
      </c>
      <c r="B243" s="1" t="s">
        <v>211</v>
      </c>
      <c r="C243" s="1" t="s">
        <v>5</v>
      </c>
      <c r="D243" s="1" t="s">
        <v>1681</v>
      </c>
    </row>
    <row r="244" ht="14.25" customHeight="1">
      <c r="A244" s="1" t="s">
        <v>1680</v>
      </c>
      <c r="B244" s="1" t="s">
        <v>211</v>
      </c>
      <c r="C244" s="1" t="s">
        <v>6</v>
      </c>
      <c r="D244" s="1" t="s">
        <v>11</v>
      </c>
    </row>
    <row r="245" ht="14.25" customHeight="1">
      <c r="A245" s="1" t="s">
        <v>1682</v>
      </c>
      <c r="B245" s="1" t="s">
        <v>191</v>
      </c>
      <c r="C245" s="1" t="s">
        <v>7</v>
      </c>
      <c r="D245" s="1" t="s">
        <v>9</v>
      </c>
    </row>
    <row r="246" ht="14.25" customHeight="1">
      <c r="A246" s="1" t="s">
        <v>1682</v>
      </c>
      <c r="B246" s="1" t="s">
        <v>191</v>
      </c>
      <c r="C246" s="1" t="s">
        <v>5</v>
      </c>
      <c r="D246" s="1" t="s">
        <v>1683</v>
      </c>
    </row>
    <row r="247" ht="14.25" customHeight="1">
      <c r="A247" s="1" t="s">
        <v>1682</v>
      </c>
      <c r="B247" s="1" t="s">
        <v>191</v>
      </c>
      <c r="C247" s="1" t="s">
        <v>6</v>
      </c>
      <c r="D247" s="1" t="s">
        <v>11</v>
      </c>
    </row>
    <row r="248" ht="14.25" customHeight="1">
      <c r="A248" s="1" t="s">
        <v>1684</v>
      </c>
      <c r="B248" s="1" t="s">
        <v>194</v>
      </c>
      <c r="C248" s="1" t="s">
        <v>7</v>
      </c>
      <c r="D248" s="1" t="s">
        <v>19</v>
      </c>
    </row>
    <row r="249" ht="14.25" customHeight="1">
      <c r="A249" s="1" t="s">
        <v>1684</v>
      </c>
      <c r="B249" s="1" t="s">
        <v>194</v>
      </c>
      <c r="C249" s="1" t="s">
        <v>5</v>
      </c>
      <c r="D249" s="1" t="s">
        <v>1685</v>
      </c>
    </row>
    <row r="250" ht="14.25" customHeight="1">
      <c r="A250" s="1" t="s">
        <v>1684</v>
      </c>
      <c r="B250" s="1" t="s">
        <v>194</v>
      </c>
      <c r="C250" s="1" t="s">
        <v>6</v>
      </c>
      <c r="D250" s="1" t="s">
        <v>21</v>
      </c>
    </row>
    <row r="251" ht="14.25" customHeight="1">
      <c r="A251" s="1" t="s">
        <v>1686</v>
      </c>
      <c r="B251" s="1" t="s">
        <v>182</v>
      </c>
      <c r="C251" s="1" t="s">
        <v>7</v>
      </c>
      <c r="D251" s="1" t="s">
        <v>19</v>
      </c>
    </row>
    <row r="252" ht="14.25" customHeight="1">
      <c r="A252" s="1" t="s">
        <v>1686</v>
      </c>
      <c r="B252" s="1" t="s">
        <v>182</v>
      </c>
      <c r="C252" s="1" t="s">
        <v>5</v>
      </c>
      <c r="D252" s="1" t="s">
        <v>1687</v>
      </c>
    </row>
    <row r="253" ht="14.25" customHeight="1">
      <c r="A253" s="1" t="s">
        <v>1686</v>
      </c>
      <c r="B253" s="1" t="s">
        <v>182</v>
      </c>
      <c r="C253" s="1" t="s">
        <v>6</v>
      </c>
      <c r="D253" s="1" t="s">
        <v>15</v>
      </c>
    </row>
    <row r="254" ht="14.25" customHeight="1">
      <c r="A254" s="1" t="s">
        <v>1688</v>
      </c>
      <c r="B254" s="1" t="s">
        <v>246</v>
      </c>
      <c r="C254" s="1" t="s">
        <v>7</v>
      </c>
      <c r="D254" s="1" t="s">
        <v>19</v>
      </c>
    </row>
    <row r="255" ht="14.25" customHeight="1">
      <c r="A255" s="1" t="s">
        <v>1688</v>
      </c>
      <c r="B255" s="1" t="s">
        <v>246</v>
      </c>
      <c r="C255" s="1" t="s">
        <v>5</v>
      </c>
      <c r="D255" s="1" t="s">
        <v>1689</v>
      </c>
    </row>
    <row r="256" ht="14.25" customHeight="1">
      <c r="A256" s="1" t="s">
        <v>1688</v>
      </c>
      <c r="B256" s="1" t="s">
        <v>246</v>
      </c>
      <c r="C256" s="1" t="s">
        <v>6</v>
      </c>
      <c r="D256" s="1" t="s">
        <v>11</v>
      </c>
    </row>
    <row r="257" ht="14.25" customHeight="1">
      <c r="A257" s="1" t="s">
        <v>1690</v>
      </c>
      <c r="B257" s="1" t="s">
        <v>398</v>
      </c>
      <c r="C257" s="1" t="s">
        <v>7</v>
      </c>
      <c r="D257" s="1" t="s">
        <v>13</v>
      </c>
    </row>
    <row r="258" ht="14.25" customHeight="1">
      <c r="A258" s="1" t="s">
        <v>1690</v>
      </c>
      <c r="B258" s="1" t="s">
        <v>398</v>
      </c>
      <c r="C258" s="1" t="s">
        <v>5</v>
      </c>
      <c r="D258" s="1" t="s">
        <v>1691</v>
      </c>
    </row>
    <row r="259" ht="14.25" customHeight="1">
      <c r="A259" s="1" t="s">
        <v>1690</v>
      </c>
      <c r="B259" s="1" t="s">
        <v>398</v>
      </c>
      <c r="C259" s="1" t="s">
        <v>6</v>
      </c>
      <c r="D259" s="1" t="s">
        <v>15</v>
      </c>
    </row>
    <row r="260" ht="14.25" customHeight="1">
      <c r="A260" s="1" t="s">
        <v>1692</v>
      </c>
      <c r="B260" s="1" t="s">
        <v>191</v>
      </c>
      <c r="C260" s="1" t="s">
        <v>7</v>
      </c>
      <c r="D260" s="1" t="s">
        <v>25</v>
      </c>
    </row>
    <row r="261" ht="14.25" customHeight="1">
      <c r="A261" s="1" t="s">
        <v>1692</v>
      </c>
      <c r="B261" s="1" t="s">
        <v>191</v>
      </c>
      <c r="C261" s="1" t="s">
        <v>5</v>
      </c>
      <c r="D261" s="1" t="s">
        <v>1693</v>
      </c>
    </row>
    <row r="262" ht="14.25" customHeight="1">
      <c r="A262" s="1" t="s">
        <v>1692</v>
      </c>
      <c r="B262" s="1" t="s">
        <v>191</v>
      </c>
      <c r="C262" s="1" t="s">
        <v>6</v>
      </c>
      <c r="D262" s="1" t="s">
        <v>11</v>
      </c>
    </row>
    <row r="263" ht="14.25" customHeight="1">
      <c r="A263" s="1" t="s">
        <v>1694</v>
      </c>
      <c r="B263" s="1" t="s">
        <v>188</v>
      </c>
      <c r="C263" s="1" t="s">
        <v>7</v>
      </c>
      <c r="D263" s="1" t="s">
        <v>19</v>
      </c>
    </row>
    <row r="264" ht="14.25" customHeight="1">
      <c r="A264" s="1" t="s">
        <v>1694</v>
      </c>
      <c r="B264" s="1" t="s">
        <v>188</v>
      </c>
      <c r="C264" s="1" t="s">
        <v>5</v>
      </c>
      <c r="D264" s="1" t="s">
        <v>1695</v>
      </c>
    </row>
    <row r="265" ht="14.25" customHeight="1">
      <c r="A265" s="1" t="s">
        <v>1694</v>
      </c>
      <c r="B265" s="1" t="s">
        <v>188</v>
      </c>
      <c r="C265" s="1" t="s">
        <v>6</v>
      </c>
      <c r="D265" s="1" t="s">
        <v>21</v>
      </c>
    </row>
    <row r="266" ht="14.25" customHeight="1">
      <c r="A266" s="1" t="s">
        <v>1696</v>
      </c>
      <c r="B266" s="1" t="s">
        <v>203</v>
      </c>
      <c r="C266" s="1" t="s">
        <v>7</v>
      </c>
      <c r="D266" s="1" t="s">
        <v>25</v>
      </c>
    </row>
    <row r="267" ht="14.25" customHeight="1">
      <c r="A267" s="1" t="s">
        <v>1696</v>
      </c>
      <c r="B267" s="1" t="s">
        <v>203</v>
      </c>
      <c r="C267" s="1" t="s">
        <v>5</v>
      </c>
      <c r="D267" s="1" t="s">
        <v>1697</v>
      </c>
    </row>
    <row r="268" ht="14.25" customHeight="1">
      <c r="A268" s="1" t="s">
        <v>1696</v>
      </c>
      <c r="B268" s="1" t="s">
        <v>203</v>
      </c>
      <c r="C268" s="1" t="s">
        <v>6</v>
      </c>
      <c r="D268" s="1" t="s">
        <v>21</v>
      </c>
    </row>
    <row r="269" ht="14.25" customHeight="1">
      <c r="A269" s="1" t="s">
        <v>1698</v>
      </c>
      <c r="B269" s="1" t="s">
        <v>317</v>
      </c>
      <c r="C269" s="1" t="s">
        <v>7</v>
      </c>
      <c r="D269" s="1" t="s">
        <v>9</v>
      </c>
    </row>
    <row r="270" ht="14.25" customHeight="1">
      <c r="A270" s="1" t="s">
        <v>1698</v>
      </c>
      <c r="B270" s="1" t="s">
        <v>317</v>
      </c>
      <c r="C270" s="1" t="s">
        <v>5</v>
      </c>
      <c r="D270" s="1" t="s">
        <v>1699</v>
      </c>
    </row>
    <row r="271" ht="14.25" customHeight="1">
      <c r="A271" s="1" t="s">
        <v>1698</v>
      </c>
      <c r="B271" s="1" t="s">
        <v>317</v>
      </c>
      <c r="C271" s="1" t="s">
        <v>6</v>
      </c>
      <c r="D271" s="1" t="s">
        <v>11</v>
      </c>
    </row>
    <row r="272" ht="14.25" customHeight="1">
      <c r="A272" s="1" t="s">
        <v>1700</v>
      </c>
      <c r="B272" s="1" t="s">
        <v>310</v>
      </c>
      <c r="C272" s="1" t="s">
        <v>7</v>
      </c>
      <c r="D272" s="1" t="s">
        <v>9</v>
      </c>
    </row>
    <row r="273" ht="14.25" customHeight="1">
      <c r="A273" s="1" t="s">
        <v>1700</v>
      </c>
      <c r="B273" s="1" t="s">
        <v>310</v>
      </c>
      <c r="C273" s="1" t="s">
        <v>5</v>
      </c>
      <c r="D273" s="1" t="s">
        <v>1701</v>
      </c>
    </row>
    <row r="274" ht="14.25" customHeight="1">
      <c r="A274" s="1" t="s">
        <v>1700</v>
      </c>
      <c r="B274" s="1" t="s">
        <v>310</v>
      </c>
      <c r="C274" s="1" t="s">
        <v>6</v>
      </c>
      <c r="D274" s="1" t="s">
        <v>21</v>
      </c>
    </row>
    <row r="275" ht="14.25" customHeight="1">
      <c r="A275" s="1" t="s">
        <v>1702</v>
      </c>
      <c r="B275" s="1" t="s">
        <v>324</v>
      </c>
      <c r="C275" s="1" t="s">
        <v>7</v>
      </c>
      <c r="D275" s="1" t="s">
        <v>25</v>
      </c>
    </row>
    <row r="276" ht="14.25" customHeight="1">
      <c r="A276" s="1" t="s">
        <v>1702</v>
      </c>
      <c r="B276" s="1" t="s">
        <v>324</v>
      </c>
      <c r="C276" s="1" t="s">
        <v>5</v>
      </c>
      <c r="D276" s="1" t="s">
        <v>1703</v>
      </c>
    </row>
    <row r="277" ht="14.25" customHeight="1">
      <c r="A277" s="1" t="s">
        <v>1702</v>
      </c>
      <c r="B277" s="1" t="s">
        <v>324</v>
      </c>
      <c r="C277" s="1" t="s">
        <v>6</v>
      </c>
      <c r="D277" s="1" t="s">
        <v>15</v>
      </c>
    </row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1704</v>
      </c>
      <c r="B2" s="1" t="s">
        <v>307</v>
      </c>
      <c r="C2" s="1" t="s">
        <v>7</v>
      </c>
      <c r="D2" s="1" t="s">
        <v>25</v>
      </c>
      <c r="F2" s="4" t="str">
        <f>IFERROR(__xludf.DUMMYFUNCTION("UNIQUE(A2:A1000)"),"824746")</f>
        <v>824746</v>
      </c>
      <c r="G2" s="4" t="str">
        <f t="shared" ref="G2:G66" si="1">CONCATENATE("11","/",VLOOKUP(F2, A2:D1000, 2, false),"/",2023)</f>
        <v>11/23/2023</v>
      </c>
      <c r="H2" s="4" t="str">
        <f t="shared" ref="H2:H66" si="2">INDEX(D:D, MATCH(1, ($A:$A = $F2) * ($C:$C = $H$1), 0))</f>
        <v>11/29/1984</v>
      </c>
      <c r="I2" s="4" t="str">
        <f t="shared" ref="I2:I66" si="3">INDEX(D:D, MATCH(1, ($A:$A = $F2) * ($C:$C = $I$1), 0))</f>
        <v>Platinum</v>
      </c>
      <c r="J2" s="4" t="str">
        <f t="shared" ref="J2:J66" si="4">INDEX(D:D, MATCH(1, ($A:$A = $F2) * ($C:$C = $J$1), 0))</f>
        <v>Black</v>
      </c>
    </row>
    <row r="3" ht="14.25" customHeight="1">
      <c r="A3" s="1" t="s">
        <v>1704</v>
      </c>
      <c r="B3" s="1" t="s">
        <v>307</v>
      </c>
      <c r="C3" s="1" t="s">
        <v>5</v>
      </c>
      <c r="D3" s="1" t="s">
        <v>1705</v>
      </c>
      <c r="F3" s="1" t="str">
        <f>IFERROR(__xludf.DUMMYFUNCTION("""COMPUTED_VALUE"""),"190312")</f>
        <v>190312</v>
      </c>
      <c r="G3" s="4" t="str">
        <f t="shared" si="1"/>
        <v>11/3/2023</v>
      </c>
      <c r="H3" s="4" t="str">
        <f t="shared" si="2"/>
        <v>1/21/2014</v>
      </c>
      <c r="I3" s="4" t="str">
        <f t="shared" si="3"/>
        <v>Gold</v>
      </c>
      <c r="J3" s="4" t="str">
        <f t="shared" si="4"/>
        <v>White</v>
      </c>
    </row>
    <row r="4" ht="14.25" customHeight="1">
      <c r="A4" s="1" t="s">
        <v>1704</v>
      </c>
      <c r="B4" s="1" t="s">
        <v>307</v>
      </c>
      <c r="C4" s="1" t="s">
        <v>6</v>
      </c>
      <c r="D4" s="1" t="s">
        <v>11</v>
      </c>
      <c r="F4" s="1" t="str">
        <f>IFERROR(__xludf.DUMMYFUNCTION("""COMPUTED_VALUE"""),"713378")</f>
        <v>713378</v>
      </c>
      <c r="G4" s="4" t="str">
        <f t="shared" si="1"/>
        <v>11/13/2023</v>
      </c>
      <c r="H4" s="4" t="str">
        <f t="shared" si="2"/>
        <v>9/28/1977</v>
      </c>
      <c r="I4" s="4" t="str">
        <f t="shared" si="3"/>
        <v>Basic</v>
      </c>
      <c r="J4" s="4" t="str">
        <f t="shared" si="4"/>
        <v>Black</v>
      </c>
    </row>
    <row r="5" ht="14.25" customHeight="1">
      <c r="A5" s="1" t="s">
        <v>1706</v>
      </c>
      <c r="B5" s="1" t="s">
        <v>292</v>
      </c>
      <c r="C5" s="1" t="s">
        <v>7</v>
      </c>
      <c r="D5" s="1" t="s">
        <v>13</v>
      </c>
      <c r="F5" s="1" t="str">
        <f>IFERROR(__xludf.DUMMYFUNCTION("""COMPUTED_VALUE"""),"939786")</f>
        <v>939786</v>
      </c>
      <c r="G5" s="4" t="str">
        <f t="shared" si="1"/>
        <v>11/25/2023</v>
      </c>
      <c r="H5" s="4" t="str">
        <f t="shared" si="2"/>
        <v>6/16/1997</v>
      </c>
      <c r="I5" s="4" t="str">
        <f t="shared" si="3"/>
        <v>Gold</v>
      </c>
      <c r="J5" s="4" t="str">
        <f t="shared" si="4"/>
        <v>Other</v>
      </c>
    </row>
    <row r="6" ht="14.25" customHeight="1">
      <c r="A6" s="1" t="s">
        <v>1706</v>
      </c>
      <c r="B6" s="1" t="s">
        <v>292</v>
      </c>
      <c r="C6" s="1" t="s">
        <v>5</v>
      </c>
      <c r="D6" s="1" t="s">
        <v>1707</v>
      </c>
      <c r="F6" s="1" t="str">
        <f>IFERROR(__xludf.DUMMYFUNCTION("""COMPUTED_VALUE"""),"784400")</f>
        <v>784400</v>
      </c>
      <c r="G6" s="4" t="str">
        <f t="shared" si="1"/>
        <v>11/26/2023</v>
      </c>
      <c r="H6" s="4" t="str">
        <f t="shared" si="2"/>
        <v>12/10/2002</v>
      </c>
      <c r="I6" s="4" t="str">
        <f t="shared" si="3"/>
        <v>Gold</v>
      </c>
      <c r="J6" s="4" t="str">
        <f t="shared" si="4"/>
        <v>Asian</v>
      </c>
    </row>
    <row r="7" ht="14.25" customHeight="1">
      <c r="A7" s="1" t="s">
        <v>1706</v>
      </c>
      <c r="B7" s="1" t="s">
        <v>292</v>
      </c>
      <c r="C7" s="1" t="s">
        <v>6</v>
      </c>
      <c r="D7" s="1" t="s">
        <v>15</v>
      </c>
      <c r="F7" s="1" t="str">
        <f>IFERROR(__xludf.DUMMYFUNCTION("""COMPUTED_VALUE"""),"271529")</f>
        <v>271529</v>
      </c>
      <c r="G7" s="4" t="str">
        <f t="shared" si="1"/>
        <v>11/21/2023</v>
      </c>
      <c r="H7" s="4" t="str">
        <f t="shared" si="2"/>
        <v>7/10/2012</v>
      </c>
      <c r="I7" s="4" t="str">
        <f t="shared" si="3"/>
        <v>Platinum</v>
      </c>
      <c r="J7" s="4" t="str">
        <f t="shared" si="4"/>
        <v>Asian</v>
      </c>
    </row>
    <row r="8" ht="14.25" customHeight="1">
      <c r="A8" s="1" t="s">
        <v>1708</v>
      </c>
      <c r="B8" s="1" t="s">
        <v>398</v>
      </c>
      <c r="C8" s="1" t="s">
        <v>7</v>
      </c>
      <c r="D8" s="1" t="s">
        <v>25</v>
      </c>
      <c r="F8" s="1" t="str">
        <f>IFERROR(__xludf.DUMMYFUNCTION("""COMPUTED_VALUE"""),"874417")</f>
        <v>874417</v>
      </c>
      <c r="G8" s="4" t="str">
        <f t="shared" si="1"/>
        <v>11/9/2023</v>
      </c>
      <c r="H8" s="4" t="str">
        <f t="shared" si="2"/>
        <v>8/12/1985</v>
      </c>
      <c r="I8" s="4" t="str">
        <f t="shared" si="3"/>
        <v>Platinum</v>
      </c>
      <c r="J8" s="4" t="str">
        <f t="shared" si="4"/>
        <v>Other</v>
      </c>
    </row>
    <row r="9" ht="14.25" customHeight="1">
      <c r="A9" s="1" t="s">
        <v>1708</v>
      </c>
      <c r="B9" s="1" t="s">
        <v>398</v>
      </c>
      <c r="C9" s="1" t="s">
        <v>5</v>
      </c>
      <c r="D9" s="1" t="s">
        <v>1709</v>
      </c>
      <c r="F9" s="1" t="str">
        <f>IFERROR(__xludf.DUMMYFUNCTION("""COMPUTED_VALUE"""),"221238")</f>
        <v>221238</v>
      </c>
      <c r="G9" s="4" t="str">
        <f t="shared" si="1"/>
        <v>11/1/2023</v>
      </c>
      <c r="H9" s="4" t="str">
        <f t="shared" si="2"/>
        <v>12/28/1940</v>
      </c>
      <c r="I9" s="4" t="str">
        <f t="shared" si="3"/>
        <v>Platinum</v>
      </c>
      <c r="J9" s="4" t="str">
        <f t="shared" si="4"/>
        <v>Other</v>
      </c>
    </row>
    <row r="10" ht="14.25" customHeight="1">
      <c r="A10" s="1" t="s">
        <v>1708</v>
      </c>
      <c r="B10" s="1" t="s">
        <v>398</v>
      </c>
      <c r="C10" s="1" t="s">
        <v>6</v>
      </c>
      <c r="D10" s="1" t="s">
        <v>21</v>
      </c>
      <c r="F10" s="1" t="str">
        <f>IFERROR(__xludf.DUMMYFUNCTION("""COMPUTED_VALUE"""),"785851")</f>
        <v>785851</v>
      </c>
      <c r="G10" s="4" t="str">
        <f t="shared" si="1"/>
        <v>11/8/2023</v>
      </c>
      <c r="H10" s="4" t="str">
        <f t="shared" si="2"/>
        <v>6/12/1981</v>
      </c>
      <c r="I10" s="4" t="str">
        <f t="shared" si="3"/>
        <v>Basic</v>
      </c>
      <c r="J10" s="4" t="str">
        <f t="shared" si="4"/>
        <v>Other</v>
      </c>
    </row>
    <row r="11" ht="14.25" customHeight="1">
      <c r="A11" s="1" t="s">
        <v>1710</v>
      </c>
      <c r="B11" s="1" t="s">
        <v>208</v>
      </c>
      <c r="C11" s="1" t="s">
        <v>7</v>
      </c>
      <c r="D11" s="1" t="s">
        <v>9</v>
      </c>
      <c r="F11" s="1" t="str">
        <f>IFERROR(__xludf.DUMMYFUNCTION("""COMPUTED_VALUE"""),"753388")</f>
        <v>753388</v>
      </c>
      <c r="G11" s="4" t="str">
        <f t="shared" si="1"/>
        <v>11/6/2023</v>
      </c>
      <c r="H11" s="4" t="str">
        <f t="shared" si="2"/>
        <v>5/16/1952</v>
      </c>
      <c r="I11" s="4" t="str">
        <f t="shared" si="3"/>
        <v>Platinum</v>
      </c>
      <c r="J11" s="4" t="str">
        <f t="shared" si="4"/>
        <v>Asian</v>
      </c>
    </row>
    <row r="12" ht="14.25" customHeight="1">
      <c r="A12" s="1" t="s">
        <v>1710</v>
      </c>
      <c r="B12" s="1" t="s">
        <v>208</v>
      </c>
      <c r="C12" s="1" t="s">
        <v>5</v>
      </c>
      <c r="D12" s="1" t="s">
        <v>1711</v>
      </c>
      <c r="F12" s="1" t="str">
        <f>IFERROR(__xludf.DUMMYFUNCTION("""COMPUTED_VALUE"""),"494788")</f>
        <v>494788</v>
      </c>
      <c r="G12" s="4" t="str">
        <f t="shared" si="1"/>
        <v>11/11/2023</v>
      </c>
      <c r="H12" s="4" t="str">
        <f t="shared" si="2"/>
        <v>5/5/1968</v>
      </c>
      <c r="I12" s="4" t="str">
        <f t="shared" si="3"/>
        <v>Gold</v>
      </c>
      <c r="J12" s="4" t="str">
        <f t="shared" si="4"/>
        <v>Black</v>
      </c>
    </row>
    <row r="13" ht="14.25" customHeight="1">
      <c r="A13" s="1" t="s">
        <v>1710</v>
      </c>
      <c r="B13" s="1" t="s">
        <v>208</v>
      </c>
      <c r="C13" s="1" t="s">
        <v>6</v>
      </c>
      <c r="D13" s="1" t="s">
        <v>15</v>
      </c>
      <c r="F13" s="1" t="str">
        <f>IFERROR(__xludf.DUMMYFUNCTION("""COMPUTED_VALUE"""),"959681")</f>
        <v>959681</v>
      </c>
      <c r="G13" s="4" t="str">
        <f t="shared" si="1"/>
        <v>11/4/2023</v>
      </c>
      <c r="H13" s="4" t="str">
        <f t="shared" si="2"/>
        <v>11/30/1945</v>
      </c>
      <c r="I13" s="4" t="str">
        <f t="shared" si="3"/>
        <v>Basic</v>
      </c>
      <c r="J13" s="4" t="str">
        <f t="shared" si="4"/>
        <v>White</v>
      </c>
    </row>
    <row r="14" ht="14.25" customHeight="1">
      <c r="A14" s="1" t="s">
        <v>1712</v>
      </c>
      <c r="B14" s="1" t="s">
        <v>230</v>
      </c>
      <c r="C14" s="1" t="s">
        <v>7</v>
      </c>
      <c r="D14" s="1" t="s">
        <v>19</v>
      </c>
      <c r="F14" s="1" t="str">
        <f>IFERROR(__xludf.DUMMYFUNCTION("""COMPUTED_VALUE"""),"748491")</f>
        <v>748491</v>
      </c>
      <c r="G14" s="4" t="str">
        <f t="shared" si="1"/>
        <v>11/20/2023</v>
      </c>
      <c r="H14" s="4" t="str">
        <f t="shared" si="2"/>
        <v>12/7/1957</v>
      </c>
      <c r="I14" s="4" t="str">
        <f t="shared" si="3"/>
        <v>Platinum</v>
      </c>
      <c r="J14" s="4" t="str">
        <f t="shared" si="4"/>
        <v>Asian</v>
      </c>
    </row>
    <row r="15" ht="14.25" customHeight="1">
      <c r="A15" s="1" t="s">
        <v>1712</v>
      </c>
      <c r="B15" s="1" t="s">
        <v>230</v>
      </c>
      <c r="C15" s="1" t="s">
        <v>5</v>
      </c>
      <c r="D15" s="1" t="s">
        <v>1713</v>
      </c>
      <c r="F15" s="1" t="str">
        <f>IFERROR(__xludf.DUMMYFUNCTION("""COMPUTED_VALUE"""),"168605")</f>
        <v>168605</v>
      </c>
      <c r="G15" s="4" t="str">
        <f t="shared" si="1"/>
        <v>11/14/2023</v>
      </c>
      <c r="H15" s="4" t="str">
        <f t="shared" si="2"/>
        <v>9/26/1983</v>
      </c>
      <c r="I15" s="4" t="str">
        <f t="shared" si="3"/>
        <v>Basic</v>
      </c>
      <c r="J15" s="4" t="str">
        <f t="shared" si="4"/>
        <v>Black</v>
      </c>
    </row>
    <row r="16" ht="14.25" customHeight="1">
      <c r="A16" s="1" t="s">
        <v>1712</v>
      </c>
      <c r="B16" s="1" t="s">
        <v>230</v>
      </c>
      <c r="C16" s="1" t="s">
        <v>6</v>
      </c>
      <c r="D16" s="1" t="s">
        <v>15</v>
      </c>
      <c r="F16" s="1" t="str">
        <f>IFERROR(__xludf.DUMMYFUNCTION("""COMPUTED_VALUE"""),"112161")</f>
        <v>112161</v>
      </c>
      <c r="G16" s="4" t="str">
        <f t="shared" si="1"/>
        <v>11/13/2023</v>
      </c>
      <c r="H16" s="4" t="str">
        <f t="shared" si="2"/>
        <v>6/27/1967</v>
      </c>
      <c r="I16" s="4" t="str">
        <f t="shared" si="3"/>
        <v>Platinum</v>
      </c>
      <c r="J16" s="4" t="str">
        <f t="shared" si="4"/>
        <v>Asian</v>
      </c>
    </row>
    <row r="17" ht="14.25" customHeight="1">
      <c r="A17" s="1" t="s">
        <v>1714</v>
      </c>
      <c r="B17" s="1" t="s">
        <v>339</v>
      </c>
      <c r="C17" s="1" t="s">
        <v>7</v>
      </c>
      <c r="D17" s="1" t="s">
        <v>19</v>
      </c>
      <c r="F17" s="1" t="str">
        <f>IFERROR(__xludf.DUMMYFUNCTION("""COMPUTED_VALUE"""),"918911")</f>
        <v>918911</v>
      </c>
      <c r="G17" s="4" t="str">
        <f t="shared" si="1"/>
        <v>11/4/2023</v>
      </c>
      <c r="H17" s="4" t="str">
        <f t="shared" si="2"/>
        <v>3/5/1954</v>
      </c>
      <c r="I17" s="4" t="str">
        <f t="shared" si="3"/>
        <v>Gold</v>
      </c>
      <c r="J17" s="4" t="str">
        <f t="shared" si="4"/>
        <v>Black</v>
      </c>
    </row>
    <row r="18" ht="14.25" customHeight="1">
      <c r="A18" s="1" t="s">
        <v>1714</v>
      </c>
      <c r="B18" s="1" t="s">
        <v>339</v>
      </c>
      <c r="C18" s="1" t="s">
        <v>5</v>
      </c>
      <c r="D18" s="1" t="s">
        <v>1715</v>
      </c>
      <c r="F18" s="1" t="str">
        <f>IFERROR(__xludf.DUMMYFUNCTION("""COMPUTED_VALUE"""),"664737")</f>
        <v>664737</v>
      </c>
      <c r="G18" s="4" t="str">
        <f t="shared" si="1"/>
        <v>11/19/2023</v>
      </c>
      <c r="H18" s="4" t="str">
        <f t="shared" si="2"/>
        <v>7/7/2000</v>
      </c>
      <c r="I18" s="4" t="str">
        <f t="shared" si="3"/>
        <v>Gold</v>
      </c>
      <c r="J18" s="4" t="str">
        <f t="shared" si="4"/>
        <v>Black</v>
      </c>
    </row>
    <row r="19" ht="14.25" customHeight="1">
      <c r="A19" s="1" t="s">
        <v>1714</v>
      </c>
      <c r="B19" s="1" t="s">
        <v>339</v>
      </c>
      <c r="C19" s="1" t="s">
        <v>6</v>
      </c>
      <c r="D19" s="1" t="s">
        <v>11</v>
      </c>
      <c r="F19" s="1" t="str">
        <f>IFERROR(__xludf.DUMMYFUNCTION("""COMPUTED_VALUE"""),"531040")</f>
        <v>531040</v>
      </c>
      <c r="G19" s="4" t="str">
        <f t="shared" si="1"/>
        <v>11/3/2023</v>
      </c>
      <c r="H19" s="4" t="str">
        <f t="shared" si="2"/>
        <v>7/17/1978</v>
      </c>
      <c r="I19" s="4" t="str">
        <f t="shared" si="3"/>
        <v>Gold</v>
      </c>
      <c r="J19" s="4" t="str">
        <f t="shared" si="4"/>
        <v>White</v>
      </c>
    </row>
    <row r="20" ht="14.25" customHeight="1">
      <c r="A20" s="1" t="s">
        <v>1716</v>
      </c>
      <c r="B20" s="1" t="s">
        <v>197</v>
      </c>
      <c r="C20" s="1" t="s">
        <v>7</v>
      </c>
      <c r="D20" s="1" t="s">
        <v>9</v>
      </c>
      <c r="F20" s="1" t="str">
        <f>IFERROR(__xludf.DUMMYFUNCTION("""COMPUTED_VALUE"""),"141629")</f>
        <v>141629</v>
      </c>
      <c r="G20" s="4" t="str">
        <f t="shared" si="1"/>
        <v>11/4/2023</v>
      </c>
      <c r="H20" s="4" t="str">
        <f t="shared" si="2"/>
        <v>3/9/1957</v>
      </c>
      <c r="I20" s="4" t="str">
        <f t="shared" si="3"/>
        <v>Basic</v>
      </c>
      <c r="J20" s="4" t="str">
        <f t="shared" si="4"/>
        <v>Other</v>
      </c>
    </row>
    <row r="21" ht="14.25" customHeight="1">
      <c r="A21" s="1" t="s">
        <v>1716</v>
      </c>
      <c r="B21" s="1" t="s">
        <v>197</v>
      </c>
      <c r="C21" s="1" t="s">
        <v>5</v>
      </c>
      <c r="D21" s="1" t="s">
        <v>1717</v>
      </c>
      <c r="F21" s="1" t="str">
        <f>IFERROR(__xludf.DUMMYFUNCTION("""COMPUTED_VALUE"""),"601677")</f>
        <v>601677</v>
      </c>
      <c r="G21" s="4" t="str">
        <f t="shared" si="1"/>
        <v>11/5/2023</v>
      </c>
      <c r="H21" s="4" t="str">
        <f t="shared" si="2"/>
        <v>1/9/1964</v>
      </c>
      <c r="I21" s="4" t="str">
        <f t="shared" si="3"/>
        <v>Basic</v>
      </c>
      <c r="J21" s="4" t="str">
        <f t="shared" si="4"/>
        <v>Other</v>
      </c>
    </row>
    <row r="22" ht="14.25" customHeight="1">
      <c r="A22" s="1" t="s">
        <v>1716</v>
      </c>
      <c r="B22" s="1" t="s">
        <v>197</v>
      </c>
      <c r="C22" s="1" t="s">
        <v>6</v>
      </c>
      <c r="D22" s="1" t="s">
        <v>11</v>
      </c>
      <c r="F22" s="1" t="str">
        <f>IFERROR(__xludf.DUMMYFUNCTION("""COMPUTED_VALUE"""),"761978")</f>
        <v>761978</v>
      </c>
      <c r="G22" s="4" t="str">
        <f t="shared" si="1"/>
        <v>11/17/2023</v>
      </c>
      <c r="H22" s="4" t="str">
        <f t="shared" si="2"/>
        <v>11/4/1991</v>
      </c>
      <c r="I22" s="4" t="str">
        <f t="shared" si="3"/>
        <v>Gold</v>
      </c>
      <c r="J22" s="4" t="str">
        <f t="shared" si="4"/>
        <v>Asian</v>
      </c>
    </row>
    <row r="23" ht="14.25" customHeight="1">
      <c r="A23" s="1" t="s">
        <v>1718</v>
      </c>
      <c r="B23" s="1" t="s">
        <v>188</v>
      </c>
      <c r="C23" s="1" t="s">
        <v>7</v>
      </c>
      <c r="D23" s="1" t="s">
        <v>9</v>
      </c>
      <c r="F23" s="1" t="str">
        <f>IFERROR(__xludf.DUMMYFUNCTION("""COMPUTED_VALUE"""),"235138")</f>
        <v>235138</v>
      </c>
      <c r="G23" s="4" t="str">
        <f t="shared" si="1"/>
        <v>11/15/2023</v>
      </c>
      <c r="H23" s="4" t="str">
        <f t="shared" si="2"/>
        <v>4/23/1967</v>
      </c>
      <c r="I23" s="4" t="str">
        <f t="shared" si="3"/>
        <v>Platinum</v>
      </c>
      <c r="J23" s="4" t="str">
        <f t="shared" si="4"/>
        <v>Asian</v>
      </c>
    </row>
    <row r="24" ht="14.25" customHeight="1">
      <c r="A24" s="1" t="s">
        <v>1718</v>
      </c>
      <c r="B24" s="1" t="s">
        <v>188</v>
      </c>
      <c r="C24" s="1" t="s">
        <v>5</v>
      </c>
      <c r="D24" s="1" t="s">
        <v>1719</v>
      </c>
      <c r="F24" s="1" t="str">
        <f>IFERROR(__xludf.DUMMYFUNCTION("""COMPUTED_VALUE"""),"949651")</f>
        <v>949651</v>
      </c>
      <c r="G24" s="4" t="str">
        <f t="shared" si="1"/>
        <v>11/25/2023</v>
      </c>
      <c r="H24" s="4" t="str">
        <f t="shared" si="2"/>
        <v>9/13/1940</v>
      </c>
      <c r="I24" s="4" t="str">
        <f t="shared" si="3"/>
        <v>Platinum</v>
      </c>
      <c r="J24" s="4" t="str">
        <f t="shared" si="4"/>
        <v>Other</v>
      </c>
    </row>
    <row r="25" ht="14.25" customHeight="1">
      <c r="A25" s="1" t="s">
        <v>1718</v>
      </c>
      <c r="B25" s="1" t="s">
        <v>188</v>
      </c>
      <c r="C25" s="1" t="s">
        <v>6</v>
      </c>
      <c r="D25" s="1" t="s">
        <v>11</v>
      </c>
      <c r="F25" s="1" t="str">
        <f>IFERROR(__xludf.DUMMYFUNCTION("""COMPUTED_VALUE"""),"689247")</f>
        <v>689247</v>
      </c>
      <c r="G25" s="4" t="str">
        <f t="shared" si="1"/>
        <v>11/4/2023</v>
      </c>
      <c r="H25" s="4" t="str">
        <f t="shared" si="2"/>
        <v>11/16/1985</v>
      </c>
      <c r="I25" s="4" t="str">
        <f t="shared" si="3"/>
        <v>Gold</v>
      </c>
      <c r="J25" s="4" t="str">
        <f t="shared" si="4"/>
        <v>Black</v>
      </c>
    </row>
    <row r="26" ht="14.25" customHeight="1">
      <c r="A26" s="1" t="s">
        <v>1720</v>
      </c>
      <c r="B26" s="1" t="s">
        <v>191</v>
      </c>
      <c r="C26" s="1" t="s">
        <v>7</v>
      </c>
      <c r="D26" s="1" t="s">
        <v>9</v>
      </c>
      <c r="F26" s="1" t="str">
        <f>IFERROR(__xludf.DUMMYFUNCTION("""COMPUTED_VALUE"""),"879093")</f>
        <v>879093</v>
      </c>
      <c r="G26" s="4" t="str">
        <f t="shared" si="1"/>
        <v>11/6/2023</v>
      </c>
      <c r="H26" s="4" t="str">
        <f t="shared" si="2"/>
        <v>9/21/1968</v>
      </c>
      <c r="I26" s="4" t="str">
        <f t="shared" si="3"/>
        <v>Gold</v>
      </c>
      <c r="J26" s="4" t="str">
        <f t="shared" si="4"/>
        <v>Black</v>
      </c>
    </row>
    <row r="27" ht="14.25" customHeight="1">
      <c r="A27" s="1" t="s">
        <v>1720</v>
      </c>
      <c r="B27" s="1" t="s">
        <v>191</v>
      </c>
      <c r="C27" s="1" t="s">
        <v>5</v>
      </c>
      <c r="D27" s="1" t="s">
        <v>1721</v>
      </c>
      <c r="F27" s="1" t="str">
        <f>IFERROR(__xludf.DUMMYFUNCTION("""COMPUTED_VALUE"""),"669652")</f>
        <v>669652</v>
      </c>
      <c r="G27" s="4" t="str">
        <f t="shared" si="1"/>
        <v>11/28/2023</v>
      </c>
      <c r="H27" s="4" t="str">
        <f t="shared" si="2"/>
        <v>5/28/2009</v>
      </c>
      <c r="I27" s="4" t="str">
        <f t="shared" si="3"/>
        <v>Platinum</v>
      </c>
      <c r="J27" s="4" t="str">
        <f t="shared" si="4"/>
        <v>Other</v>
      </c>
    </row>
    <row r="28" ht="14.25" customHeight="1">
      <c r="A28" s="1" t="s">
        <v>1720</v>
      </c>
      <c r="B28" s="1" t="s">
        <v>191</v>
      </c>
      <c r="C28" s="1" t="s">
        <v>6</v>
      </c>
      <c r="D28" s="1" t="s">
        <v>21</v>
      </c>
      <c r="F28" s="1" t="str">
        <f>IFERROR(__xludf.DUMMYFUNCTION("""COMPUTED_VALUE"""),"381269")</f>
        <v>381269</v>
      </c>
      <c r="G28" s="4" t="str">
        <f t="shared" si="1"/>
        <v>11/1/2023</v>
      </c>
      <c r="H28" s="4" t="str">
        <f t="shared" si="2"/>
        <v>7/15/1983</v>
      </c>
      <c r="I28" s="4" t="str">
        <f t="shared" si="3"/>
        <v>Gold</v>
      </c>
      <c r="J28" s="4" t="str">
        <f t="shared" si="4"/>
        <v>Black</v>
      </c>
    </row>
    <row r="29" ht="14.25" customHeight="1">
      <c r="A29" s="1" t="s">
        <v>1722</v>
      </c>
      <c r="B29" s="1" t="s">
        <v>194</v>
      </c>
      <c r="C29" s="1" t="s">
        <v>7</v>
      </c>
      <c r="D29" s="1" t="s">
        <v>19</v>
      </c>
      <c r="F29" s="1" t="str">
        <f>IFERROR(__xludf.DUMMYFUNCTION("""COMPUTED_VALUE"""),"504043")</f>
        <v>504043</v>
      </c>
      <c r="G29" s="4" t="str">
        <f t="shared" si="1"/>
        <v>11/5/2023</v>
      </c>
      <c r="H29" s="4" t="str">
        <f t="shared" si="2"/>
        <v>4/1/1986</v>
      </c>
      <c r="I29" s="4" t="str">
        <f t="shared" si="3"/>
        <v>Basic</v>
      </c>
      <c r="J29" s="4" t="str">
        <f t="shared" si="4"/>
        <v>Asian</v>
      </c>
    </row>
    <row r="30" ht="14.25" customHeight="1">
      <c r="A30" s="1" t="s">
        <v>1722</v>
      </c>
      <c r="B30" s="1" t="s">
        <v>194</v>
      </c>
      <c r="C30" s="1" t="s">
        <v>5</v>
      </c>
      <c r="D30" s="1" t="s">
        <v>1723</v>
      </c>
      <c r="F30" s="1" t="str">
        <f>IFERROR(__xludf.DUMMYFUNCTION("""COMPUTED_VALUE"""),"312962")</f>
        <v>312962</v>
      </c>
      <c r="G30" s="4" t="str">
        <f t="shared" si="1"/>
        <v>11/1/2023</v>
      </c>
      <c r="H30" s="4" t="str">
        <f t="shared" si="2"/>
        <v>7/12/1978</v>
      </c>
      <c r="I30" s="4" t="str">
        <f t="shared" si="3"/>
        <v>Gold</v>
      </c>
      <c r="J30" s="4" t="str">
        <f t="shared" si="4"/>
        <v>White</v>
      </c>
    </row>
    <row r="31" ht="14.25" customHeight="1">
      <c r="A31" s="1" t="s">
        <v>1722</v>
      </c>
      <c r="B31" s="1" t="s">
        <v>194</v>
      </c>
      <c r="C31" s="1" t="s">
        <v>6</v>
      </c>
      <c r="D31" s="1" t="s">
        <v>11</v>
      </c>
      <c r="F31" s="1" t="str">
        <f>IFERROR(__xludf.DUMMYFUNCTION("""COMPUTED_VALUE"""),"943346")</f>
        <v>943346</v>
      </c>
      <c r="G31" s="4" t="str">
        <f t="shared" si="1"/>
        <v>11/30/2023</v>
      </c>
      <c r="H31" s="4" t="str">
        <f t="shared" si="2"/>
        <v>8/27/1957</v>
      </c>
      <c r="I31" s="4" t="str">
        <f t="shared" si="3"/>
        <v>Basic</v>
      </c>
      <c r="J31" s="4" t="str">
        <f t="shared" si="4"/>
        <v>Other</v>
      </c>
    </row>
    <row r="32" ht="14.25" customHeight="1">
      <c r="A32" s="1" t="s">
        <v>1724</v>
      </c>
      <c r="B32" s="1" t="s">
        <v>317</v>
      </c>
      <c r="C32" s="1" t="s">
        <v>7</v>
      </c>
      <c r="D32" s="1" t="s">
        <v>25</v>
      </c>
      <c r="F32" s="1" t="str">
        <f>IFERROR(__xludf.DUMMYFUNCTION("""COMPUTED_VALUE"""),"950849")</f>
        <v>950849</v>
      </c>
      <c r="G32" s="4" t="str">
        <f t="shared" si="1"/>
        <v>11/8/2023</v>
      </c>
      <c r="H32" s="4" t="str">
        <f t="shared" si="2"/>
        <v>7/30/1990</v>
      </c>
      <c r="I32" s="4" t="str">
        <f t="shared" si="3"/>
        <v>Gold</v>
      </c>
      <c r="J32" s="4" t="str">
        <f t="shared" si="4"/>
        <v>Black</v>
      </c>
    </row>
    <row r="33" ht="14.25" customHeight="1">
      <c r="A33" s="1" t="s">
        <v>1724</v>
      </c>
      <c r="B33" s="1" t="s">
        <v>317</v>
      </c>
      <c r="C33" s="1" t="s">
        <v>5</v>
      </c>
      <c r="D33" s="1" t="s">
        <v>1725</v>
      </c>
      <c r="F33" s="1" t="str">
        <f>IFERROR(__xludf.DUMMYFUNCTION("""COMPUTED_VALUE"""),"271596")</f>
        <v>271596</v>
      </c>
      <c r="G33" s="4" t="str">
        <f t="shared" si="1"/>
        <v>11/30/2023</v>
      </c>
      <c r="H33" s="4" t="str">
        <f t="shared" si="2"/>
        <v>9/10/2000</v>
      </c>
      <c r="I33" s="4" t="str">
        <f t="shared" si="3"/>
        <v>Gold</v>
      </c>
      <c r="J33" s="4" t="str">
        <f t="shared" si="4"/>
        <v>White</v>
      </c>
    </row>
    <row r="34" ht="14.25" customHeight="1">
      <c r="A34" s="1" t="s">
        <v>1724</v>
      </c>
      <c r="B34" s="1" t="s">
        <v>317</v>
      </c>
      <c r="C34" s="1" t="s">
        <v>6</v>
      </c>
      <c r="D34" s="1" t="s">
        <v>15</v>
      </c>
      <c r="F34" s="1" t="str">
        <f>IFERROR(__xludf.DUMMYFUNCTION("""COMPUTED_VALUE"""),"410607")</f>
        <v>410607</v>
      </c>
      <c r="G34" s="4" t="str">
        <f t="shared" si="1"/>
        <v>11/3/2023</v>
      </c>
      <c r="H34" s="4" t="str">
        <f t="shared" si="2"/>
        <v>3/8/1958</v>
      </c>
      <c r="I34" s="4" t="str">
        <f t="shared" si="3"/>
        <v>Gold</v>
      </c>
      <c r="J34" s="4" t="str">
        <f t="shared" si="4"/>
        <v>Asian</v>
      </c>
    </row>
    <row r="35" ht="14.25" customHeight="1">
      <c r="A35" s="1" t="s">
        <v>1726</v>
      </c>
      <c r="B35" s="1" t="s">
        <v>310</v>
      </c>
      <c r="C35" s="1" t="s">
        <v>7</v>
      </c>
      <c r="D35" s="1" t="s">
        <v>13</v>
      </c>
      <c r="F35" s="1" t="str">
        <f>IFERROR(__xludf.DUMMYFUNCTION("""COMPUTED_VALUE"""),"720946")</f>
        <v>720946</v>
      </c>
      <c r="G35" s="4" t="str">
        <f t="shared" si="1"/>
        <v>11/26/2023</v>
      </c>
      <c r="H35" s="4" t="str">
        <f t="shared" si="2"/>
        <v>6/7/1984</v>
      </c>
      <c r="I35" s="4" t="str">
        <f t="shared" si="3"/>
        <v>Basic</v>
      </c>
      <c r="J35" s="4" t="str">
        <f t="shared" si="4"/>
        <v>White</v>
      </c>
    </row>
    <row r="36" ht="14.25" customHeight="1">
      <c r="A36" s="1" t="s">
        <v>1726</v>
      </c>
      <c r="B36" s="1" t="s">
        <v>310</v>
      </c>
      <c r="C36" s="1" t="s">
        <v>5</v>
      </c>
      <c r="D36" s="1" t="s">
        <v>1727</v>
      </c>
      <c r="F36" s="1" t="str">
        <f>IFERROR(__xludf.DUMMYFUNCTION("""COMPUTED_VALUE"""),"224213")</f>
        <v>224213</v>
      </c>
      <c r="G36" s="4" t="str">
        <f t="shared" si="1"/>
        <v>11/27/2023</v>
      </c>
      <c r="H36" s="4" t="str">
        <f t="shared" si="2"/>
        <v>1/17/1992</v>
      </c>
      <c r="I36" s="4" t="str">
        <f t="shared" si="3"/>
        <v>Platinum</v>
      </c>
      <c r="J36" s="4" t="str">
        <f t="shared" si="4"/>
        <v>Other</v>
      </c>
    </row>
    <row r="37" ht="14.25" customHeight="1">
      <c r="A37" s="1" t="s">
        <v>1726</v>
      </c>
      <c r="B37" s="1" t="s">
        <v>310</v>
      </c>
      <c r="C37" s="1" t="s">
        <v>6</v>
      </c>
      <c r="D37" s="1" t="s">
        <v>21</v>
      </c>
      <c r="F37" s="1" t="str">
        <f>IFERROR(__xludf.DUMMYFUNCTION("""COMPUTED_VALUE"""),"335173")</f>
        <v>335173</v>
      </c>
      <c r="G37" s="4" t="str">
        <f t="shared" si="1"/>
        <v>11/11/2023</v>
      </c>
      <c r="H37" s="4" t="str">
        <f t="shared" si="2"/>
        <v>1/28/1942</v>
      </c>
      <c r="I37" s="4" t="str">
        <f t="shared" si="3"/>
        <v>Gold</v>
      </c>
      <c r="J37" s="4" t="str">
        <f t="shared" si="4"/>
        <v>White</v>
      </c>
    </row>
    <row r="38" ht="14.25" customHeight="1">
      <c r="A38" s="1" t="s">
        <v>1728</v>
      </c>
      <c r="B38" s="1" t="s">
        <v>182</v>
      </c>
      <c r="C38" s="1" t="s">
        <v>7</v>
      </c>
      <c r="D38" s="1" t="s">
        <v>19</v>
      </c>
      <c r="F38" s="1" t="str">
        <f>IFERROR(__xludf.DUMMYFUNCTION("""COMPUTED_VALUE"""),"963473")</f>
        <v>963473</v>
      </c>
      <c r="G38" s="4" t="str">
        <f t="shared" si="1"/>
        <v>11/13/2023</v>
      </c>
      <c r="H38" s="4" t="str">
        <f t="shared" si="2"/>
        <v>10/1/2014</v>
      </c>
      <c r="I38" s="4" t="str">
        <f t="shared" si="3"/>
        <v>Platinum</v>
      </c>
      <c r="J38" s="4" t="str">
        <f t="shared" si="4"/>
        <v>White</v>
      </c>
    </row>
    <row r="39" ht="14.25" customHeight="1">
      <c r="A39" s="1" t="s">
        <v>1728</v>
      </c>
      <c r="B39" s="1" t="s">
        <v>182</v>
      </c>
      <c r="C39" s="1" t="s">
        <v>5</v>
      </c>
      <c r="D39" s="1" t="s">
        <v>1729</v>
      </c>
      <c r="F39" s="1" t="str">
        <f>IFERROR(__xludf.DUMMYFUNCTION("""COMPUTED_VALUE"""),"983346")</f>
        <v>983346</v>
      </c>
      <c r="G39" s="4" t="str">
        <f t="shared" si="1"/>
        <v>11/24/2023</v>
      </c>
      <c r="H39" s="4" t="str">
        <f t="shared" si="2"/>
        <v>8/19/1951</v>
      </c>
      <c r="I39" s="4" t="str">
        <f t="shared" si="3"/>
        <v>Basic</v>
      </c>
      <c r="J39" s="4" t="str">
        <f t="shared" si="4"/>
        <v>Asian</v>
      </c>
    </row>
    <row r="40" ht="14.25" customHeight="1">
      <c r="A40" s="1" t="s">
        <v>1728</v>
      </c>
      <c r="B40" s="1" t="s">
        <v>182</v>
      </c>
      <c r="C40" s="1" t="s">
        <v>6</v>
      </c>
      <c r="D40" s="1" t="s">
        <v>11</v>
      </c>
      <c r="F40" s="1" t="str">
        <f>IFERROR(__xludf.DUMMYFUNCTION("""COMPUTED_VALUE"""),"129983")</f>
        <v>129983</v>
      </c>
      <c r="G40" s="4" t="str">
        <f t="shared" si="1"/>
        <v>11/7/2023</v>
      </c>
      <c r="H40" s="4" t="str">
        <f t="shared" si="2"/>
        <v>4/12/2001</v>
      </c>
      <c r="I40" s="4" t="str">
        <f t="shared" si="3"/>
        <v>Basic</v>
      </c>
      <c r="J40" s="4" t="str">
        <f t="shared" si="4"/>
        <v>Asian</v>
      </c>
    </row>
    <row r="41" ht="14.25" customHeight="1">
      <c r="A41" s="1" t="s">
        <v>1730</v>
      </c>
      <c r="B41" s="1" t="s">
        <v>214</v>
      </c>
      <c r="C41" s="1" t="s">
        <v>7</v>
      </c>
      <c r="D41" s="1" t="s">
        <v>25</v>
      </c>
      <c r="F41" s="1" t="str">
        <f>IFERROR(__xludf.DUMMYFUNCTION("""COMPUTED_VALUE"""),"697830")</f>
        <v>697830</v>
      </c>
      <c r="G41" s="4" t="str">
        <f t="shared" si="1"/>
        <v>11/21/2023</v>
      </c>
      <c r="H41" s="4" t="str">
        <f t="shared" si="2"/>
        <v>11/14/1948</v>
      </c>
      <c r="I41" s="4" t="str">
        <f t="shared" si="3"/>
        <v>Gold</v>
      </c>
      <c r="J41" s="4" t="str">
        <f t="shared" si="4"/>
        <v>White</v>
      </c>
    </row>
    <row r="42" ht="14.25" customHeight="1">
      <c r="A42" s="1" t="s">
        <v>1730</v>
      </c>
      <c r="B42" s="1" t="s">
        <v>214</v>
      </c>
      <c r="C42" s="1" t="s">
        <v>5</v>
      </c>
      <c r="D42" s="1" t="s">
        <v>1731</v>
      </c>
      <c r="F42" s="1" t="str">
        <f>IFERROR(__xludf.DUMMYFUNCTION("""COMPUTED_VALUE"""),"774922")</f>
        <v>774922</v>
      </c>
      <c r="G42" s="4" t="str">
        <f t="shared" si="1"/>
        <v>11/19/2023</v>
      </c>
      <c r="H42" s="4" t="str">
        <f t="shared" si="2"/>
        <v>8/14/2011</v>
      </c>
      <c r="I42" s="4" t="str">
        <f t="shared" si="3"/>
        <v>Gold</v>
      </c>
      <c r="J42" s="4" t="str">
        <f t="shared" si="4"/>
        <v>Black</v>
      </c>
    </row>
    <row r="43" ht="14.25" customHeight="1">
      <c r="A43" s="1" t="s">
        <v>1730</v>
      </c>
      <c r="B43" s="1" t="s">
        <v>214</v>
      </c>
      <c r="C43" s="1" t="s">
        <v>6</v>
      </c>
      <c r="D43" s="1" t="s">
        <v>21</v>
      </c>
      <c r="F43" s="1" t="str">
        <f>IFERROR(__xludf.DUMMYFUNCTION("""COMPUTED_VALUE"""),"694902")</f>
        <v>694902</v>
      </c>
      <c r="G43" s="4" t="str">
        <f t="shared" si="1"/>
        <v>11/21/2023</v>
      </c>
      <c r="H43" s="4" t="str">
        <f t="shared" si="2"/>
        <v>3/30/2001</v>
      </c>
      <c r="I43" s="4" t="str">
        <f t="shared" si="3"/>
        <v>Basic</v>
      </c>
      <c r="J43" s="4" t="str">
        <f t="shared" si="4"/>
        <v>Asian</v>
      </c>
    </row>
    <row r="44" ht="14.25" customHeight="1">
      <c r="A44" s="1" t="s">
        <v>1732</v>
      </c>
      <c r="B44" s="1" t="s">
        <v>398</v>
      </c>
      <c r="C44" s="1" t="s">
        <v>7</v>
      </c>
      <c r="D44" s="1" t="s">
        <v>19</v>
      </c>
      <c r="F44" s="1" t="str">
        <f>IFERROR(__xludf.DUMMYFUNCTION("""COMPUTED_VALUE"""),"595254")</f>
        <v>595254</v>
      </c>
      <c r="G44" s="4" t="str">
        <f t="shared" si="1"/>
        <v>11/6/2023</v>
      </c>
      <c r="H44" s="4" t="str">
        <f t="shared" si="2"/>
        <v>5/6/1942</v>
      </c>
      <c r="I44" s="4" t="str">
        <f t="shared" si="3"/>
        <v>Platinum</v>
      </c>
      <c r="J44" s="4" t="str">
        <f t="shared" si="4"/>
        <v>Other</v>
      </c>
    </row>
    <row r="45" ht="14.25" customHeight="1">
      <c r="A45" s="1" t="s">
        <v>1732</v>
      </c>
      <c r="B45" s="1" t="s">
        <v>398</v>
      </c>
      <c r="C45" s="1" t="s">
        <v>5</v>
      </c>
      <c r="D45" s="1" t="s">
        <v>1733</v>
      </c>
      <c r="F45" s="1" t="str">
        <f>IFERROR(__xludf.DUMMYFUNCTION("""COMPUTED_VALUE"""),"260096")</f>
        <v>260096</v>
      </c>
      <c r="G45" s="4" t="str">
        <f t="shared" si="1"/>
        <v>11/20/2023</v>
      </c>
      <c r="H45" s="4" t="str">
        <f t="shared" si="2"/>
        <v>1/10/1955</v>
      </c>
      <c r="I45" s="4" t="str">
        <f t="shared" si="3"/>
        <v>Basic</v>
      </c>
      <c r="J45" s="4" t="str">
        <f t="shared" si="4"/>
        <v>Black</v>
      </c>
    </row>
    <row r="46" ht="14.25" customHeight="1">
      <c r="A46" s="1" t="s">
        <v>1732</v>
      </c>
      <c r="B46" s="1" t="s">
        <v>398</v>
      </c>
      <c r="C46" s="1" t="s">
        <v>6</v>
      </c>
      <c r="D46" s="1" t="s">
        <v>11</v>
      </c>
      <c r="F46" s="1" t="str">
        <f>IFERROR(__xludf.DUMMYFUNCTION("""COMPUTED_VALUE"""),"512023")</f>
        <v>512023</v>
      </c>
      <c r="G46" s="4" t="str">
        <f t="shared" si="1"/>
        <v>11/16/2023</v>
      </c>
      <c r="H46" s="4" t="str">
        <f t="shared" si="2"/>
        <v>4/5/1957</v>
      </c>
      <c r="I46" s="4" t="str">
        <f t="shared" si="3"/>
        <v>Gold</v>
      </c>
      <c r="J46" s="4" t="str">
        <f t="shared" si="4"/>
        <v>Black</v>
      </c>
    </row>
    <row r="47" ht="14.25" customHeight="1">
      <c r="A47" s="1" t="s">
        <v>1734</v>
      </c>
      <c r="B47" s="1" t="s">
        <v>310</v>
      </c>
      <c r="C47" s="1" t="s">
        <v>7</v>
      </c>
      <c r="D47" s="1" t="s">
        <v>25</v>
      </c>
      <c r="F47" s="1" t="str">
        <f>IFERROR(__xludf.DUMMYFUNCTION("""COMPUTED_VALUE"""),"952333")</f>
        <v>952333</v>
      </c>
      <c r="G47" s="4" t="str">
        <f t="shared" si="1"/>
        <v>11/15/2023</v>
      </c>
      <c r="H47" s="4" t="str">
        <f t="shared" si="2"/>
        <v>3/5/2000</v>
      </c>
      <c r="I47" s="4" t="str">
        <f t="shared" si="3"/>
        <v>Gold</v>
      </c>
      <c r="J47" s="4" t="str">
        <f t="shared" si="4"/>
        <v>Other</v>
      </c>
    </row>
    <row r="48" ht="14.25" customHeight="1">
      <c r="A48" s="1" t="s">
        <v>1734</v>
      </c>
      <c r="B48" s="1" t="s">
        <v>310</v>
      </c>
      <c r="C48" s="1" t="s">
        <v>5</v>
      </c>
      <c r="D48" s="1" t="s">
        <v>1735</v>
      </c>
      <c r="F48" s="1" t="str">
        <f>IFERROR(__xludf.DUMMYFUNCTION("""COMPUTED_VALUE"""),"848904")</f>
        <v>848904</v>
      </c>
      <c r="G48" s="4" t="str">
        <f t="shared" si="1"/>
        <v>11/14/2023</v>
      </c>
      <c r="H48" s="4" t="str">
        <f t="shared" si="2"/>
        <v>1/6/1962</v>
      </c>
      <c r="I48" s="4" t="str">
        <f t="shared" si="3"/>
        <v>Basic</v>
      </c>
      <c r="J48" s="4" t="str">
        <f t="shared" si="4"/>
        <v>White</v>
      </c>
    </row>
    <row r="49" ht="14.25" customHeight="1">
      <c r="A49" s="1" t="s">
        <v>1734</v>
      </c>
      <c r="B49" s="1" t="s">
        <v>310</v>
      </c>
      <c r="C49" s="1" t="s">
        <v>6</v>
      </c>
      <c r="D49" s="1" t="s">
        <v>15</v>
      </c>
      <c r="F49" s="1" t="str">
        <f>IFERROR(__xludf.DUMMYFUNCTION("""COMPUTED_VALUE"""),"279177")</f>
        <v>279177</v>
      </c>
      <c r="G49" s="4" t="str">
        <f t="shared" si="1"/>
        <v>11/7/2023</v>
      </c>
      <c r="H49" s="4" t="str">
        <f t="shared" si="2"/>
        <v>2/26/1967</v>
      </c>
      <c r="I49" s="4" t="str">
        <f t="shared" si="3"/>
        <v>Basic</v>
      </c>
      <c r="J49" s="4" t="str">
        <f t="shared" si="4"/>
        <v>White</v>
      </c>
    </row>
    <row r="50" ht="14.25" customHeight="1">
      <c r="A50" s="1" t="s">
        <v>1736</v>
      </c>
      <c r="B50" s="1" t="s">
        <v>381</v>
      </c>
      <c r="C50" s="1" t="s">
        <v>7</v>
      </c>
      <c r="D50" s="1" t="s">
        <v>25</v>
      </c>
      <c r="F50" s="1" t="str">
        <f>IFERROR(__xludf.DUMMYFUNCTION("""COMPUTED_VALUE"""),"755822")</f>
        <v>755822</v>
      </c>
      <c r="G50" s="4" t="str">
        <f t="shared" si="1"/>
        <v>11/19/2023</v>
      </c>
      <c r="H50" s="4" t="str">
        <f t="shared" si="2"/>
        <v>7/4/1942</v>
      </c>
      <c r="I50" s="4" t="str">
        <f t="shared" si="3"/>
        <v>Gold</v>
      </c>
      <c r="J50" s="4" t="str">
        <f t="shared" si="4"/>
        <v>Black</v>
      </c>
    </row>
    <row r="51" ht="14.25" customHeight="1">
      <c r="A51" s="1" t="s">
        <v>1736</v>
      </c>
      <c r="B51" s="1" t="s">
        <v>381</v>
      </c>
      <c r="C51" s="1" t="s">
        <v>5</v>
      </c>
      <c r="D51" s="1" t="s">
        <v>1737</v>
      </c>
      <c r="F51" s="1" t="str">
        <f>IFERROR(__xludf.DUMMYFUNCTION("""COMPUTED_VALUE"""),"838906")</f>
        <v>838906</v>
      </c>
      <c r="G51" s="4" t="str">
        <f t="shared" si="1"/>
        <v>11/26/2023</v>
      </c>
      <c r="H51" s="4" t="str">
        <f t="shared" si="2"/>
        <v>6/1/1976</v>
      </c>
      <c r="I51" s="4" t="str">
        <f t="shared" si="3"/>
        <v>Gold</v>
      </c>
      <c r="J51" s="4" t="str">
        <f t="shared" si="4"/>
        <v>White</v>
      </c>
    </row>
    <row r="52" ht="14.25" customHeight="1">
      <c r="A52" s="1" t="s">
        <v>1736</v>
      </c>
      <c r="B52" s="1" t="s">
        <v>381</v>
      </c>
      <c r="C52" s="1" t="s">
        <v>6</v>
      </c>
      <c r="D52" s="1" t="s">
        <v>15</v>
      </c>
      <c r="F52" s="1" t="str">
        <f>IFERROR(__xludf.DUMMYFUNCTION("""COMPUTED_VALUE"""),"701108")</f>
        <v>701108</v>
      </c>
      <c r="G52" s="4" t="str">
        <f t="shared" si="1"/>
        <v>11/21/2023</v>
      </c>
      <c r="H52" s="4" t="str">
        <f t="shared" si="2"/>
        <v>10/29/1975</v>
      </c>
      <c r="I52" s="4" t="str">
        <f t="shared" si="3"/>
        <v>Basic</v>
      </c>
      <c r="J52" s="4" t="str">
        <f t="shared" si="4"/>
        <v>White</v>
      </c>
    </row>
    <row r="53" ht="14.25" customHeight="1">
      <c r="A53" s="1" t="s">
        <v>1738</v>
      </c>
      <c r="B53" s="1" t="s">
        <v>292</v>
      </c>
      <c r="C53" s="1" t="s">
        <v>7</v>
      </c>
      <c r="D53" s="1" t="s">
        <v>13</v>
      </c>
      <c r="F53" s="1" t="str">
        <f>IFERROR(__xludf.DUMMYFUNCTION("""COMPUTED_VALUE"""),"892338")</f>
        <v>892338</v>
      </c>
      <c r="G53" s="4" t="str">
        <f t="shared" si="1"/>
        <v>11/5/2023</v>
      </c>
      <c r="H53" s="4" t="str">
        <f t="shared" si="2"/>
        <v>6/3/1961</v>
      </c>
      <c r="I53" s="4" t="str">
        <f t="shared" si="3"/>
        <v>Platinum</v>
      </c>
      <c r="J53" s="4" t="str">
        <f t="shared" si="4"/>
        <v>White</v>
      </c>
    </row>
    <row r="54" ht="14.25" customHeight="1">
      <c r="A54" s="1" t="s">
        <v>1738</v>
      </c>
      <c r="B54" s="1" t="s">
        <v>292</v>
      </c>
      <c r="C54" s="1" t="s">
        <v>5</v>
      </c>
      <c r="D54" s="1" t="s">
        <v>1739</v>
      </c>
      <c r="F54" s="1" t="str">
        <f>IFERROR(__xludf.DUMMYFUNCTION("""COMPUTED_VALUE"""),"450210")</f>
        <v>450210</v>
      </c>
      <c r="G54" s="4" t="str">
        <f t="shared" si="1"/>
        <v>11/24/2023</v>
      </c>
      <c r="H54" s="4" t="str">
        <f t="shared" si="2"/>
        <v>8/24/2018</v>
      </c>
      <c r="I54" s="4" t="str">
        <f t="shared" si="3"/>
        <v>Basic</v>
      </c>
      <c r="J54" s="4" t="str">
        <f t="shared" si="4"/>
        <v>Other</v>
      </c>
    </row>
    <row r="55" ht="14.25" customHeight="1">
      <c r="A55" s="1" t="s">
        <v>1738</v>
      </c>
      <c r="B55" s="1" t="s">
        <v>292</v>
      </c>
      <c r="C55" s="1" t="s">
        <v>6</v>
      </c>
      <c r="D55" s="1" t="s">
        <v>15</v>
      </c>
      <c r="F55" s="1" t="str">
        <f>IFERROR(__xludf.DUMMYFUNCTION("""COMPUTED_VALUE"""),"140062")</f>
        <v>140062</v>
      </c>
      <c r="G55" s="4" t="str">
        <f t="shared" si="1"/>
        <v>11/22/2023</v>
      </c>
      <c r="H55" s="4" t="str">
        <f t="shared" si="2"/>
        <v>6/7/2012</v>
      </c>
      <c r="I55" s="4" t="str">
        <f t="shared" si="3"/>
        <v>Platinum</v>
      </c>
      <c r="J55" s="4" t="str">
        <f t="shared" si="4"/>
        <v>Black</v>
      </c>
    </row>
    <row r="56" ht="14.25" customHeight="1">
      <c r="A56" s="1" t="s">
        <v>1740</v>
      </c>
      <c r="B56" s="1" t="s">
        <v>310</v>
      </c>
      <c r="C56" s="1" t="s">
        <v>7</v>
      </c>
      <c r="D56" s="1" t="s">
        <v>9</v>
      </c>
      <c r="F56" s="1" t="str">
        <f>IFERROR(__xludf.DUMMYFUNCTION("""COMPUTED_VALUE"""),"176117")</f>
        <v>176117</v>
      </c>
      <c r="G56" s="4" t="str">
        <f t="shared" si="1"/>
        <v>11/28/2023</v>
      </c>
      <c r="H56" s="4" t="str">
        <f t="shared" si="2"/>
        <v>4/19/1966</v>
      </c>
      <c r="I56" s="4" t="str">
        <f t="shared" si="3"/>
        <v>Gold</v>
      </c>
      <c r="J56" s="4" t="str">
        <f t="shared" si="4"/>
        <v>Asian</v>
      </c>
    </row>
    <row r="57" ht="14.25" customHeight="1">
      <c r="A57" s="1" t="s">
        <v>1740</v>
      </c>
      <c r="B57" s="1" t="s">
        <v>310</v>
      </c>
      <c r="C57" s="1" t="s">
        <v>5</v>
      </c>
      <c r="D57" s="1" t="s">
        <v>1741</v>
      </c>
      <c r="F57" s="1" t="str">
        <f>IFERROR(__xludf.DUMMYFUNCTION("""COMPUTED_VALUE"""),"791769")</f>
        <v>791769</v>
      </c>
      <c r="G57" s="4" t="str">
        <f t="shared" si="1"/>
        <v>11/4/2023</v>
      </c>
      <c r="H57" s="4" t="str">
        <f t="shared" si="2"/>
        <v>11/2/1968</v>
      </c>
      <c r="I57" s="4" t="str">
        <f t="shared" si="3"/>
        <v>Gold</v>
      </c>
      <c r="J57" s="4" t="str">
        <f t="shared" si="4"/>
        <v>Black</v>
      </c>
    </row>
    <row r="58" ht="14.25" customHeight="1">
      <c r="A58" s="1" t="s">
        <v>1740</v>
      </c>
      <c r="B58" s="1" t="s">
        <v>310</v>
      </c>
      <c r="C58" s="1" t="s">
        <v>6</v>
      </c>
      <c r="D58" s="1" t="s">
        <v>21</v>
      </c>
      <c r="F58" s="1" t="str">
        <f>IFERROR(__xludf.DUMMYFUNCTION("""COMPUTED_VALUE"""),"145928")</f>
        <v>145928</v>
      </c>
      <c r="G58" s="4" t="str">
        <f t="shared" si="1"/>
        <v>11/23/2023</v>
      </c>
      <c r="H58" s="4" t="str">
        <f t="shared" si="2"/>
        <v>8/16/1941</v>
      </c>
      <c r="I58" s="4" t="str">
        <f t="shared" si="3"/>
        <v>Basic</v>
      </c>
      <c r="J58" s="4" t="str">
        <f t="shared" si="4"/>
        <v>Other</v>
      </c>
    </row>
    <row r="59" ht="14.25" customHeight="1">
      <c r="A59" s="1" t="s">
        <v>1742</v>
      </c>
      <c r="B59" s="1" t="s">
        <v>185</v>
      </c>
      <c r="C59" s="1" t="s">
        <v>7</v>
      </c>
      <c r="D59" s="1" t="s">
        <v>9</v>
      </c>
      <c r="F59" s="1" t="str">
        <f>IFERROR(__xludf.DUMMYFUNCTION("""COMPUTED_VALUE"""),"311054")</f>
        <v>311054</v>
      </c>
      <c r="G59" s="4" t="str">
        <f t="shared" si="1"/>
        <v>11/26/2023</v>
      </c>
      <c r="H59" s="4" t="str">
        <f t="shared" si="2"/>
        <v>11/21/1956</v>
      </c>
      <c r="I59" s="4" t="str">
        <f t="shared" si="3"/>
        <v>Gold</v>
      </c>
      <c r="J59" s="4" t="str">
        <f t="shared" si="4"/>
        <v>Black</v>
      </c>
    </row>
    <row r="60" ht="14.25" customHeight="1">
      <c r="A60" s="1" t="s">
        <v>1742</v>
      </c>
      <c r="B60" s="1" t="s">
        <v>185</v>
      </c>
      <c r="C60" s="1" t="s">
        <v>5</v>
      </c>
      <c r="D60" s="1" t="s">
        <v>1743</v>
      </c>
      <c r="F60" s="1" t="str">
        <f>IFERROR(__xludf.DUMMYFUNCTION("""COMPUTED_VALUE"""),"575378")</f>
        <v>575378</v>
      </c>
      <c r="G60" s="4" t="str">
        <f t="shared" si="1"/>
        <v>11/24/2023</v>
      </c>
      <c r="H60" s="4" t="str">
        <f t="shared" si="2"/>
        <v>4/7/1974</v>
      </c>
      <c r="I60" s="4" t="str">
        <f t="shared" si="3"/>
        <v>Platinum</v>
      </c>
      <c r="J60" s="4" t="str">
        <f t="shared" si="4"/>
        <v>White</v>
      </c>
    </row>
    <row r="61" ht="14.25" customHeight="1">
      <c r="A61" s="1" t="s">
        <v>1742</v>
      </c>
      <c r="B61" s="1" t="s">
        <v>185</v>
      </c>
      <c r="C61" s="1" t="s">
        <v>6</v>
      </c>
      <c r="D61" s="1" t="s">
        <v>21</v>
      </c>
      <c r="F61" s="1" t="str">
        <f>IFERROR(__xludf.DUMMYFUNCTION("""COMPUTED_VALUE"""),"390727")</f>
        <v>390727</v>
      </c>
      <c r="G61" s="4" t="str">
        <f t="shared" si="1"/>
        <v>11/4/2023</v>
      </c>
      <c r="H61" s="4" t="str">
        <f t="shared" si="2"/>
        <v>10/9/1972</v>
      </c>
      <c r="I61" s="4" t="str">
        <f t="shared" si="3"/>
        <v>Basic</v>
      </c>
      <c r="J61" s="4" t="str">
        <f t="shared" si="4"/>
        <v>Asian</v>
      </c>
    </row>
    <row r="62" ht="14.25" customHeight="1">
      <c r="A62" s="1" t="s">
        <v>1744</v>
      </c>
      <c r="B62" s="1" t="s">
        <v>223</v>
      </c>
      <c r="C62" s="1" t="s">
        <v>7</v>
      </c>
      <c r="D62" s="1" t="s">
        <v>19</v>
      </c>
      <c r="F62" s="1" t="str">
        <f>IFERROR(__xludf.DUMMYFUNCTION("""COMPUTED_VALUE"""),"220298")</f>
        <v>220298</v>
      </c>
      <c r="G62" s="4" t="str">
        <f t="shared" si="1"/>
        <v>11/12/2023</v>
      </c>
      <c r="H62" s="4" t="str">
        <f t="shared" si="2"/>
        <v>7/5/1978</v>
      </c>
      <c r="I62" s="4" t="str">
        <f t="shared" si="3"/>
        <v>Gold</v>
      </c>
      <c r="J62" s="4" t="str">
        <f t="shared" si="4"/>
        <v>Asian</v>
      </c>
    </row>
    <row r="63" ht="14.25" customHeight="1">
      <c r="A63" s="1" t="s">
        <v>1744</v>
      </c>
      <c r="B63" s="1" t="s">
        <v>223</v>
      </c>
      <c r="C63" s="1" t="s">
        <v>5</v>
      </c>
      <c r="D63" s="1" t="s">
        <v>1745</v>
      </c>
      <c r="F63" s="1" t="str">
        <f>IFERROR(__xludf.DUMMYFUNCTION("""COMPUTED_VALUE"""),"808528")</f>
        <v>808528</v>
      </c>
      <c r="G63" s="4" t="str">
        <f t="shared" si="1"/>
        <v>11/26/2023</v>
      </c>
      <c r="H63" s="4" t="str">
        <f t="shared" si="2"/>
        <v>4/5/1992</v>
      </c>
      <c r="I63" s="4" t="str">
        <f t="shared" si="3"/>
        <v>Gold</v>
      </c>
      <c r="J63" s="4" t="str">
        <f t="shared" si="4"/>
        <v>White</v>
      </c>
    </row>
    <row r="64" ht="14.25" customHeight="1">
      <c r="A64" s="1" t="s">
        <v>1744</v>
      </c>
      <c r="B64" s="1" t="s">
        <v>223</v>
      </c>
      <c r="C64" s="1" t="s">
        <v>6</v>
      </c>
      <c r="D64" s="1" t="s">
        <v>15</v>
      </c>
      <c r="F64" s="1" t="str">
        <f>IFERROR(__xludf.DUMMYFUNCTION("""COMPUTED_VALUE"""),"829132")</f>
        <v>829132</v>
      </c>
      <c r="G64" s="4" t="str">
        <f t="shared" si="1"/>
        <v>11/20/2023</v>
      </c>
      <c r="H64" s="4" t="str">
        <f t="shared" si="2"/>
        <v>5/19/1991</v>
      </c>
      <c r="I64" s="4" t="str">
        <f t="shared" si="3"/>
        <v>Gold</v>
      </c>
      <c r="J64" s="4" t="str">
        <f t="shared" si="4"/>
        <v>Other</v>
      </c>
    </row>
    <row r="65" ht="14.25" customHeight="1">
      <c r="A65" s="1" t="s">
        <v>1746</v>
      </c>
      <c r="B65" s="1" t="s">
        <v>264</v>
      </c>
      <c r="C65" s="1" t="s">
        <v>7</v>
      </c>
      <c r="D65" s="1" t="s">
        <v>19</v>
      </c>
      <c r="F65" s="1" t="str">
        <f>IFERROR(__xludf.DUMMYFUNCTION("""COMPUTED_VALUE"""),"345518")</f>
        <v>345518</v>
      </c>
      <c r="G65" s="4" t="str">
        <f t="shared" si="1"/>
        <v>11/23/2023</v>
      </c>
      <c r="H65" s="4" t="str">
        <f t="shared" si="2"/>
        <v>12/22/1994</v>
      </c>
      <c r="I65" s="4" t="str">
        <f t="shared" si="3"/>
        <v>Platinum</v>
      </c>
      <c r="J65" s="4" t="str">
        <f t="shared" si="4"/>
        <v>Black</v>
      </c>
    </row>
    <row r="66" ht="14.25" customHeight="1">
      <c r="A66" s="1" t="s">
        <v>1746</v>
      </c>
      <c r="B66" s="1" t="s">
        <v>264</v>
      </c>
      <c r="C66" s="1" t="s">
        <v>5</v>
      </c>
      <c r="D66" s="1" t="s">
        <v>1747</v>
      </c>
      <c r="F66" s="1" t="str">
        <f>IFERROR(__xludf.DUMMYFUNCTION("""COMPUTED_VALUE"""),"753670")</f>
        <v>753670</v>
      </c>
      <c r="G66" s="4" t="str">
        <f t="shared" si="1"/>
        <v>11/14/2023</v>
      </c>
      <c r="H66" s="4" t="str">
        <f t="shared" si="2"/>
        <v>12/4/1991</v>
      </c>
      <c r="I66" s="4" t="str">
        <f t="shared" si="3"/>
        <v>Basic</v>
      </c>
      <c r="J66" s="4" t="str">
        <f t="shared" si="4"/>
        <v>Black</v>
      </c>
    </row>
    <row r="67" ht="14.25" customHeight="1">
      <c r="A67" s="1" t="s">
        <v>1746</v>
      </c>
      <c r="B67" s="1" t="s">
        <v>264</v>
      </c>
      <c r="C67" s="1" t="s">
        <v>6</v>
      </c>
      <c r="D67" s="1" t="s">
        <v>11</v>
      </c>
      <c r="F67" s="1"/>
    </row>
    <row r="68" ht="14.25" customHeight="1">
      <c r="A68" s="1" t="s">
        <v>1748</v>
      </c>
      <c r="B68" s="1" t="s">
        <v>208</v>
      </c>
      <c r="C68" s="1" t="s">
        <v>7</v>
      </c>
      <c r="D68" s="1" t="s">
        <v>9</v>
      </c>
    </row>
    <row r="69" ht="14.25" customHeight="1">
      <c r="A69" s="1" t="s">
        <v>1748</v>
      </c>
      <c r="B69" s="1" t="s">
        <v>208</v>
      </c>
      <c r="C69" s="1" t="s">
        <v>5</v>
      </c>
      <c r="D69" s="1" t="s">
        <v>1749</v>
      </c>
    </row>
    <row r="70" ht="14.25" customHeight="1">
      <c r="A70" s="1" t="s">
        <v>1748</v>
      </c>
      <c r="B70" s="1" t="s">
        <v>208</v>
      </c>
      <c r="C70" s="1" t="s">
        <v>6</v>
      </c>
      <c r="D70" s="1" t="s">
        <v>11</v>
      </c>
    </row>
    <row r="71" ht="14.25" customHeight="1">
      <c r="A71" s="1" t="s">
        <v>1750</v>
      </c>
      <c r="B71" s="1" t="s">
        <v>310</v>
      </c>
      <c r="C71" s="1" t="s">
        <v>7</v>
      </c>
      <c r="D71" s="1" t="s">
        <v>25</v>
      </c>
    </row>
    <row r="72" ht="14.25" customHeight="1">
      <c r="A72" s="1" t="s">
        <v>1750</v>
      </c>
      <c r="B72" s="1" t="s">
        <v>310</v>
      </c>
      <c r="C72" s="1" t="s">
        <v>5</v>
      </c>
      <c r="D72" s="1" t="s">
        <v>1751</v>
      </c>
    </row>
    <row r="73" ht="14.25" customHeight="1">
      <c r="A73" s="1" t="s">
        <v>1750</v>
      </c>
      <c r="B73" s="1" t="s">
        <v>310</v>
      </c>
      <c r="C73" s="1" t="s">
        <v>6</v>
      </c>
      <c r="D73" s="1" t="s">
        <v>15</v>
      </c>
    </row>
    <row r="74" ht="14.25" customHeight="1">
      <c r="A74" s="1" t="s">
        <v>1752</v>
      </c>
      <c r="B74" s="1" t="s">
        <v>194</v>
      </c>
      <c r="C74" s="1" t="s">
        <v>7</v>
      </c>
      <c r="D74" s="1" t="s">
        <v>25</v>
      </c>
    </row>
    <row r="75" ht="14.25" customHeight="1">
      <c r="A75" s="1" t="s">
        <v>1752</v>
      </c>
      <c r="B75" s="1" t="s">
        <v>194</v>
      </c>
      <c r="C75" s="1" t="s">
        <v>5</v>
      </c>
      <c r="D75" s="1" t="s">
        <v>1753</v>
      </c>
    </row>
    <row r="76" ht="14.25" customHeight="1">
      <c r="A76" s="1" t="s">
        <v>1752</v>
      </c>
      <c r="B76" s="1" t="s">
        <v>194</v>
      </c>
      <c r="C76" s="1" t="s">
        <v>6</v>
      </c>
      <c r="D76" s="1" t="s">
        <v>15</v>
      </c>
    </row>
    <row r="77" ht="14.25" customHeight="1">
      <c r="A77" s="1" t="s">
        <v>1754</v>
      </c>
      <c r="B77" s="1" t="s">
        <v>211</v>
      </c>
      <c r="C77" s="1" t="s">
        <v>7</v>
      </c>
      <c r="D77" s="1" t="s">
        <v>9</v>
      </c>
    </row>
    <row r="78" ht="14.25" customHeight="1">
      <c r="A78" s="1" t="s">
        <v>1754</v>
      </c>
      <c r="B78" s="1" t="s">
        <v>211</v>
      </c>
      <c r="C78" s="1" t="s">
        <v>5</v>
      </c>
      <c r="D78" s="1" t="s">
        <v>695</v>
      </c>
    </row>
    <row r="79" ht="14.25" customHeight="1">
      <c r="A79" s="1" t="s">
        <v>1754</v>
      </c>
      <c r="B79" s="1" t="s">
        <v>211</v>
      </c>
      <c r="C79" s="1" t="s">
        <v>6</v>
      </c>
      <c r="D79" s="1" t="s">
        <v>11</v>
      </c>
    </row>
    <row r="80" ht="14.25" customHeight="1">
      <c r="A80" s="1" t="s">
        <v>1755</v>
      </c>
      <c r="B80" s="1" t="s">
        <v>188</v>
      </c>
      <c r="C80" s="1" t="s">
        <v>7</v>
      </c>
      <c r="D80" s="1" t="s">
        <v>25</v>
      </c>
    </row>
    <row r="81" ht="14.25" customHeight="1">
      <c r="A81" s="1" t="s">
        <v>1755</v>
      </c>
      <c r="B81" s="1" t="s">
        <v>188</v>
      </c>
      <c r="C81" s="1" t="s">
        <v>5</v>
      </c>
      <c r="D81" s="1" t="s">
        <v>1756</v>
      </c>
    </row>
    <row r="82" ht="14.25" customHeight="1">
      <c r="A82" s="1" t="s">
        <v>1755</v>
      </c>
      <c r="B82" s="1" t="s">
        <v>188</v>
      </c>
      <c r="C82" s="1" t="s">
        <v>6</v>
      </c>
      <c r="D82" s="1" t="s">
        <v>15</v>
      </c>
    </row>
    <row r="83" ht="14.25" customHeight="1">
      <c r="A83" s="1" t="s">
        <v>1757</v>
      </c>
      <c r="B83" s="1" t="s">
        <v>185</v>
      </c>
      <c r="C83" s="1" t="s">
        <v>7</v>
      </c>
      <c r="D83" s="1" t="s">
        <v>19</v>
      </c>
    </row>
    <row r="84" ht="14.25" customHeight="1">
      <c r="A84" s="1" t="s">
        <v>1757</v>
      </c>
      <c r="B84" s="1" t="s">
        <v>185</v>
      </c>
      <c r="C84" s="1" t="s">
        <v>5</v>
      </c>
      <c r="D84" s="1" t="s">
        <v>1758</v>
      </c>
    </row>
    <row r="85" ht="14.25" customHeight="1">
      <c r="A85" s="1" t="s">
        <v>1757</v>
      </c>
      <c r="B85" s="1" t="s">
        <v>185</v>
      </c>
      <c r="C85" s="1" t="s">
        <v>6</v>
      </c>
      <c r="D85" s="1" t="s">
        <v>21</v>
      </c>
    </row>
    <row r="86" ht="14.25" customHeight="1">
      <c r="A86" s="1" t="s">
        <v>1759</v>
      </c>
      <c r="B86" s="1" t="s">
        <v>188</v>
      </c>
      <c r="C86" s="1" t="s">
        <v>7</v>
      </c>
      <c r="D86" s="1" t="s">
        <v>13</v>
      </c>
    </row>
    <row r="87" ht="14.25" customHeight="1">
      <c r="A87" s="1" t="s">
        <v>1759</v>
      </c>
      <c r="B87" s="1" t="s">
        <v>188</v>
      </c>
      <c r="C87" s="1" t="s">
        <v>5</v>
      </c>
      <c r="D87" s="1" t="s">
        <v>1141</v>
      </c>
    </row>
    <row r="88" ht="14.25" customHeight="1">
      <c r="A88" s="1" t="s">
        <v>1759</v>
      </c>
      <c r="B88" s="1" t="s">
        <v>188</v>
      </c>
      <c r="C88" s="1" t="s">
        <v>6</v>
      </c>
      <c r="D88" s="1" t="s">
        <v>15</v>
      </c>
    </row>
    <row r="89" ht="14.25" customHeight="1">
      <c r="A89" s="1" t="s">
        <v>1760</v>
      </c>
      <c r="B89" s="1" t="s">
        <v>472</v>
      </c>
      <c r="C89" s="1" t="s">
        <v>7</v>
      </c>
      <c r="D89" s="1" t="s">
        <v>9</v>
      </c>
    </row>
    <row r="90" ht="14.25" customHeight="1">
      <c r="A90" s="1" t="s">
        <v>1760</v>
      </c>
      <c r="B90" s="1" t="s">
        <v>472</v>
      </c>
      <c r="C90" s="1" t="s">
        <v>5</v>
      </c>
      <c r="D90" s="1" t="s">
        <v>1761</v>
      </c>
    </row>
    <row r="91" ht="14.25" customHeight="1">
      <c r="A91" s="1" t="s">
        <v>1760</v>
      </c>
      <c r="B91" s="1" t="s">
        <v>472</v>
      </c>
      <c r="C91" s="1" t="s">
        <v>6</v>
      </c>
      <c r="D91" s="1" t="s">
        <v>21</v>
      </c>
    </row>
    <row r="92" ht="14.25" customHeight="1">
      <c r="A92" s="1" t="s">
        <v>1762</v>
      </c>
      <c r="B92" s="1" t="s">
        <v>191</v>
      </c>
      <c r="C92" s="1" t="s">
        <v>7</v>
      </c>
      <c r="D92" s="1" t="s">
        <v>25</v>
      </c>
    </row>
    <row r="93" ht="14.25" customHeight="1">
      <c r="A93" s="1" t="s">
        <v>1762</v>
      </c>
      <c r="B93" s="1" t="s">
        <v>191</v>
      </c>
      <c r="C93" s="1" t="s">
        <v>5</v>
      </c>
      <c r="D93" s="1" t="s">
        <v>809</v>
      </c>
    </row>
    <row r="94" ht="14.25" customHeight="1">
      <c r="A94" s="1" t="s">
        <v>1762</v>
      </c>
      <c r="B94" s="1" t="s">
        <v>191</v>
      </c>
      <c r="C94" s="1" t="s">
        <v>6</v>
      </c>
      <c r="D94" s="1" t="s">
        <v>15</v>
      </c>
    </row>
    <row r="95" ht="14.25" customHeight="1">
      <c r="A95" s="1" t="s">
        <v>1763</v>
      </c>
      <c r="B95" s="1" t="s">
        <v>472</v>
      </c>
      <c r="C95" s="1" t="s">
        <v>7</v>
      </c>
      <c r="D95" s="1" t="s">
        <v>13</v>
      </c>
    </row>
    <row r="96" ht="14.25" customHeight="1">
      <c r="A96" s="1" t="s">
        <v>1763</v>
      </c>
      <c r="B96" s="1" t="s">
        <v>472</v>
      </c>
      <c r="C96" s="1" t="s">
        <v>5</v>
      </c>
      <c r="D96" s="1" t="s">
        <v>1764</v>
      </c>
    </row>
    <row r="97" ht="14.25" customHeight="1">
      <c r="A97" s="1" t="s">
        <v>1763</v>
      </c>
      <c r="B97" s="1" t="s">
        <v>472</v>
      </c>
      <c r="C97" s="1" t="s">
        <v>6</v>
      </c>
      <c r="D97" s="1" t="s">
        <v>15</v>
      </c>
    </row>
    <row r="98" ht="14.25" customHeight="1">
      <c r="A98" s="1" t="s">
        <v>1765</v>
      </c>
      <c r="B98" s="1" t="s">
        <v>292</v>
      </c>
      <c r="C98" s="1" t="s">
        <v>7</v>
      </c>
      <c r="D98" s="1" t="s">
        <v>19</v>
      </c>
    </row>
    <row r="99" ht="14.25" customHeight="1">
      <c r="A99" s="1" t="s">
        <v>1765</v>
      </c>
      <c r="B99" s="1" t="s">
        <v>292</v>
      </c>
      <c r="C99" s="1" t="s">
        <v>5</v>
      </c>
      <c r="D99" s="1" t="s">
        <v>1766</v>
      </c>
    </row>
    <row r="100" ht="14.25" customHeight="1">
      <c r="A100" s="1" t="s">
        <v>1765</v>
      </c>
      <c r="B100" s="1" t="s">
        <v>292</v>
      </c>
      <c r="C100" s="1" t="s">
        <v>6</v>
      </c>
      <c r="D100" s="1" t="s">
        <v>15</v>
      </c>
    </row>
    <row r="101" ht="14.25" customHeight="1">
      <c r="A101" s="1" t="s">
        <v>1767</v>
      </c>
      <c r="B101" s="1" t="s">
        <v>230</v>
      </c>
      <c r="C101" s="1" t="s">
        <v>7</v>
      </c>
      <c r="D101" s="1" t="s">
        <v>13</v>
      </c>
    </row>
    <row r="102" ht="14.25" customHeight="1">
      <c r="A102" s="1" t="s">
        <v>1767</v>
      </c>
      <c r="B102" s="1" t="s">
        <v>230</v>
      </c>
      <c r="C102" s="1" t="s">
        <v>5</v>
      </c>
      <c r="D102" s="1" t="s">
        <v>1768</v>
      </c>
    </row>
    <row r="103" ht="14.25" customHeight="1">
      <c r="A103" s="1" t="s">
        <v>1767</v>
      </c>
      <c r="B103" s="1" t="s">
        <v>230</v>
      </c>
      <c r="C103" s="1" t="s">
        <v>6</v>
      </c>
      <c r="D103" s="1" t="s">
        <v>21</v>
      </c>
    </row>
    <row r="104" ht="14.25" customHeight="1">
      <c r="A104" s="1" t="s">
        <v>1769</v>
      </c>
      <c r="B104" s="1" t="s">
        <v>203</v>
      </c>
      <c r="C104" s="1" t="s">
        <v>7</v>
      </c>
      <c r="D104" s="1" t="s">
        <v>9</v>
      </c>
    </row>
    <row r="105" ht="14.25" customHeight="1">
      <c r="A105" s="1" t="s">
        <v>1769</v>
      </c>
      <c r="B105" s="1" t="s">
        <v>203</v>
      </c>
      <c r="C105" s="1" t="s">
        <v>5</v>
      </c>
      <c r="D105" s="1" t="s">
        <v>1770</v>
      </c>
    </row>
    <row r="106" ht="14.25" customHeight="1">
      <c r="A106" s="1" t="s">
        <v>1769</v>
      </c>
      <c r="B106" s="1" t="s">
        <v>203</v>
      </c>
      <c r="C106" s="1" t="s">
        <v>6</v>
      </c>
      <c r="D106" s="1" t="s">
        <v>11</v>
      </c>
    </row>
    <row r="107" ht="14.25" customHeight="1">
      <c r="A107" s="1" t="s">
        <v>1771</v>
      </c>
      <c r="B107" s="1" t="s">
        <v>317</v>
      </c>
      <c r="C107" s="1" t="s">
        <v>7</v>
      </c>
      <c r="D107" s="1" t="s">
        <v>13</v>
      </c>
    </row>
    <row r="108" ht="14.25" customHeight="1">
      <c r="A108" s="1" t="s">
        <v>1771</v>
      </c>
      <c r="B108" s="1" t="s">
        <v>317</v>
      </c>
      <c r="C108" s="1" t="s">
        <v>5</v>
      </c>
      <c r="D108" s="1" t="s">
        <v>1772</v>
      </c>
    </row>
    <row r="109" ht="14.25" customHeight="1">
      <c r="A109" s="1" t="s">
        <v>1771</v>
      </c>
      <c r="B109" s="1" t="s">
        <v>317</v>
      </c>
      <c r="C109" s="1" t="s">
        <v>6</v>
      </c>
      <c r="D109" s="1" t="s">
        <v>15</v>
      </c>
    </row>
    <row r="110" ht="14.25" customHeight="1">
      <c r="A110" s="1" t="s">
        <v>1773</v>
      </c>
      <c r="B110" s="1" t="s">
        <v>398</v>
      </c>
      <c r="C110" s="1" t="s">
        <v>7</v>
      </c>
      <c r="D110" s="1" t="s">
        <v>13</v>
      </c>
    </row>
    <row r="111" ht="14.25" customHeight="1">
      <c r="A111" s="1" t="s">
        <v>1773</v>
      </c>
      <c r="B111" s="1" t="s">
        <v>398</v>
      </c>
      <c r="C111" s="1" t="s">
        <v>5</v>
      </c>
      <c r="D111" s="1" t="s">
        <v>1774</v>
      </c>
    </row>
    <row r="112" ht="14.25" customHeight="1">
      <c r="A112" s="1" t="s">
        <v>1773</v>
      </c>
      <c r="B112" s="1" t="s">
        <v>398</v>
      </c>
      <c r="C112" s="1" t="s">
        <v>6</v>
      </c>
      <c r="D112" s="1" t="s">
        <v>11</v>
      </c>
    </row>
    <row r="113" ht="14.25" customHeight="1">
      <c r="A113" s="1" t="s">
        <v>1775</v>
      </c>
      <c r="B113" s="1" t="s">
        <v>239</v>
      </c>
      <c r="C113" s="1" t="s">
        <v>7</v>
      </c>
      <c r="D113" s="1" t="s">
        <v>19</v>
      </c>
    </row>
    <row r="114" ht="14.25" customHeight="1">
      <c r="A114" s="1" t="s">
        <v>1775</v>
      </c>
      <c r="B114" s="1" t="s">
        <v>239</v>
      </c>
      <c r="C114" s="1" t="s">
        <v>5</v>
      </c>
      <c r="D114" s="1" t="s">
        <v>1776</v>
      </c>
    </row>
    <row r="115" ht="14.25" customHeight="1">
      <c r="A115" s="1" t="s">
        <v>1775</v>
      </c>
      <c r="B115" s="1" t="s">
        <v>239</v>
      </c>
      <c r="C115" s="1" t="s">
        <v>6</v>
      </c>
      <c r="D115" s="1" t="s">
        <v>21</v>
      </c>
    </row>
    <row r="116" ht="14.25" customHeight="1">
      <c r="A116" s="1" t="s">
        <v>1777</v>
      </c>
      <c r="B116" s="1" t="s">
        <v>246</v>
      </c>
      <c r="C116" s="1" t="s">
        <v>7</v>
      </c>
      <c r="D116" s="1" t="s">
        <v>19</v>
      </c>
    </row>
    <row r="117" ht="14.25" customHeight="1">
      <c r="A117" s="1" t="s">
        <v>1777</v>
      </c>
      <c r="B117" s="1" t="s">
        <v>246</v>
      </c>
      <c r="C117" s="1" t="s">
        <v>5</v>
      </c>
      <c r="D117" s="1" t="s">
        <v>1778</v>
      </c>
    </row>
    <row r="118" ht="14.25" customHeight="1">
      <c r="A118" s="1" t="s">
        <v>1777</v>
      </c>
      <c r="B118" s="1" t="s">
        <v>246</v>
      </c>
      <c r="C118" s="1" t="s">
        <v>6</v>
      </c>
      <c r="D118" s="1" t="s">
        <v>21</v>
      </c>
    </row>
    <row r="119" ht="14.25" customHeight="1">
      <c r="A119" s="1" t="s">
        <v>1779</v>
      </c>
      <c r="B119" s="1" t="s">
        <v>339</v>
      </c>
      <c r="C119" s="1" t="s">
        <v>7</v>
      </c>
      <c r="D119" s="1" t="s">
        <v>13</v>
      </c>
    </row>
    <row r="120" ht="14.25" customHeight="1">
      <c r="A120" s="1" t="s">
        <v>1779</v>
      </c>
      <c r="B120" s="1" t="s">
        <v>339</v>
      </c>
      <c r="C120" s="1" t="s">
        <v>5</v>
      </c>
      <c r="D120" s="1" t="s">
        <v>1780</v>
      </c>
    </row>
    <row r="121" ht="14.25" customHeight="1">
      <c r="A121" s="1" t="s">
        <v>1779</v>
      </c>
      <c r="B121" s="1" t="s">
        <v>339</v>
      </c>
      <c r="C121" s="1" t="s">
        <v>6</v>
      </c>
      <c r="D121" s="1" t="s">
        <v>15</v>
      </c>
    </row>
    <row r="122" ht="14.25" customHeight="1">
      <c r="A122" s="1" t="s">
        <v>1781</v>
      </c>
      <c r="B122" s="1" t="s">
        <v>381</v>
      </c>
      <c r="C122" s="1" t="s">
        <v>7</v>
      </c>
      <c r="D122" s="1" t="s">
        <v>25</v>
      </c>
    </row>
    <row r="123" ht="14.25" customHeight="1">
      <c r="A123" s="1" t="s">
        <v>1781</v>
      </c>
      <c r="B123" s="1" t="s">
        <v>381</v>
      </c>
      <c r="C123" s="1" t="s">
        <v>5</v>
      </c>
      <c r="D123" s="1" t="s">
        <v>1782</v>
      </c>
    </row>
    <row r="124" ht="14.25" customHeight="1">
      <c r="A124" s="1" t="s">
        <v>1781</v>
      </c>
      <c r="B124" s="1" t="s">
        <v>381</v>
      </c>
      <c r="C124" s="1" t="s">
        <v>6</v>
      </c>
      <c r="D124" s="1" t="s">
        <v>15</v>
      </c>
    </row>
    <row r="125" ht="14.25" customHeight="1">
      <c r="A125" s="1" t="s">
        <v>1783</v>
      </c>
      <c r="B125" s="1" t="s">
        <v>339</v>
      </c>
      <c r="C125" s="1" t="s">
        <v>7</v>
      </c>
      <c r="D125" s="1" t="s">
        <v>19</v>
      </c>
    </row>
    <row r="126" ht="14.25" customHeight="1">
      <c r="A126" s="1" t="s">
        <v>1783</v>
      </c>
      <c r="B126" s="1" t="s">
        <v>339</v>
      </c>
      <c r="C126" s="1" t="s">
        <v>5</v>
      </c>
      <c r="D126" s="1" t="s">
        <v>1784</v>
      </c>
    </row>
    <row r="127" ht="14.25" customHeight="1">
      <c r="A127" s="1" t="s">
        <v>1783</v>
      </c>
      <c r="B127" s="1" t="s">
        <v>339</v>
      </c>
      <c r="C127" s="1" t="s">
        <v>6</v>
      </c>
      <c r="D127" s="1" t="s">
        <v>21</v>
      </c>
    </row>
    <row r="128" ht="14.25" customHeight="1">
      <c r="A128" s="1" t="s">
        <v>1785</v>
      </c>
      <c r="B128" s="1" t="s">
        <v>194</v>
      </c>
      <c r="C128" s="1" t="s">
        <v>7</v>
      </c>
      <c r="D128" s="1" t="s">
        <v>9</v>
      </c>
    </row>
    <row r="129" ht="14.25" customHeight="1">
      <c r="A129" s="1" t="s">
        <v>1785</v>
      </c>
      <c r="B129" s="1" t="s">
        <v>194</v>
      </c>
      <c r="C129" s="1" t="s">
        <v>5</v>
      </c>
      <c r="D129" s="1" t="s">
        <v>1786</v>
      </c>
    </row>
    <row r="130" ht="14.25" customHeight="1">
      <c r="A130" s="1" t="s">
        <v>1785</v>
      </c>
      <c r="B130" s="1" t="s">
        <v>194</v>
      </c>
      <c r="C130" s="1" t="s">
        <v>6</v>
      </c>
      <c r="D130" s="1" t="s">
        <v>11</v>
      </c>
    </row>
    <row r="131" ht="14.25" customHeight="1">
      <c r="A131" s="1" t="s">
        <v>1787</v>
      </c>
      <c r="B131" s="1" t="s">
        <v>182</v>
      </c>
      <c r="C131" s="1" t="s">
        <v>7</v>
      </c>
      <c r="D131" s="1" t="s">
        <v>25</v>
      </c>
    </row>
    <row r="132" ht="14.25" customHeight="1">
      <c r="A132" s="1" t="s">
        <v>1787</v>
      </c>
      <c r="B132" s="1" t="s">
        <v>182</v>
      </c>
      <c r="C132" s="1" t="s">
        <v>5</v>
      </c>
      <c r="D132" s="1" t="s">
        <v>1788</v>
      </c>
    </row>
    <row r="133" ht="14.25" customHeight="1">
      <c r="A133" s="1" t="s">
        <v>1787</v>
      </c>
      <c r="B133" s="1" t="s">
        <v>182</v>
      </c>
      <c r="C133" s="1" t="s">
        <v>6</v>
      </c>
      <c r="D133" s="1" t="s">
        <v>21</v>
      </c>
    </row>
    <row r="134" ht="14.25" customHeight="1">
      <c r="A134" s="1" t="s">
        <v>1789</v>
      </c>
      <c r="B134" s="1" t="s">
        <v>249</v>
      </c>
      <c r="C134" s="1" t="s">
        <v>7</v>
      </c>
      <c r="D134" s="1" t="s">
        <v>25</v>
      </c>
    </row>
    <row r="135" ht="14.25" customHeight="1">
      <c r="A135" s="1" t="s">
        <v>1789</v>
      </c>
      <c r="B135" s="1" t="s">
        <v>249</v>
      </c>
      <c r="C135" s="1" t="s">
        <v>5</v>
      </c>
      <c r="D135" s="1" t="s">
        <v>1790</v>
      </c>
    </row>
    <row r="136" ht="14.25" customHeight="1">
      <c r="A136" s="1" t="s">
        <v>1789</v>
      </c>
      <c r="B136" s="1" t="s">
        <v>249</v>
      </c>
      <c r="C136" s="1" t="s">
        <v>6</v>
      </c>
      <c r="D136" s="1" t="s">
        <v>15</v>
      </c>
    </row>
    <row r="137" ht="14.25" customHeight="1">
      <c r="A137" s="1" t="s">
        <v>1791</v>
      </c>
      <c r="B137" s="1" t="s">
        <v>264</v>
      </c>
      <c r="C137" s="1" t="s">
        <v>7</v>
      </c>
      <c r="D137" s="1" t="s">
        <v>9</v>
      </c>
    </row>
    <row r="138" ht="14.25" customHeight="1">
      <c r="A138" s="1" t="s">
        <v>1791</v>
      </c>
      <c r="B138" s="1" t="s">
        <v>264</v>
      </c>
      <c r="C138" s="1" t="s">
        <v>5</v>
      </c>
      <c r="D138" s="1" t="s">
        <v>1792</v>
      </c>
    </row>
    <row r="139" ht="14.25" customHeight="1">
      <c r="A139" s="1" t="s">
        <v>1791</v>
      </c>
      <c r="B139" s="1" t="s">
        <v>264</v>
      </c>
      <c r="C139" s="1" t="s">
        <v>6</v>
      </c>
      <c r="D139" s="1" t="s">
        <v>15</v>
      </c>
    </row>
    <row r="140" ht="14.25" customHeight="1">
      <c r="A140" s="1" t="s">
        <v>1793</v>
      </c>
      <c r="B140" s="1" t="s">
        <v>214</v>
      </c>
      <c r="C140" s="1" t="s">
        <v>7</v>
      </c>
      <c r="D140" s="1" t="s">
        <v>13</v>
      </c>
    </row>
    <row r="141" ht="14.25" customHeight="1">
      <c r="A141" s="1" t="s">
        <v>1793</v>
      </c>
      <c r="B141" s="1" t="s">
        <v>214</v>
      </c>
      <c r="C141" s="1" t="s">
        <v>5</v>
      </c>
      <c r="D141" s="1" t="s">
        <v>1794</v>
      </c>
    </row>
    <row r="142" ht="14.25" customHeight="1">
      <c r="A142" s="1" t="s">
        <v>1793</v>
      </c>
      <c r="B142" s="1" t="s">
        <v>214</v>
      </c>
      <c r="C142" s="1" t="s">
        <v>6</v>
      </c>
      <c r="D142" s="1" t="s">
        <v>21</v>
      </c>
    </row>
    <row r="143" ht="14.25" customHeight="1">
      <c r="A143" s="1" t="s">
        <v>1795</v>
      </c>
      <c r="B143" s="1" t="s">
        <v>246</v>
      </c>
      <c r="C143" s="1" t="s">
        <v>7</v>
      </c>
      <c r="D143" s="1" t="s">
        <v>13</v>
      </c>
    </row>
    <row r="144" ht="14.25" customHeight="1">
      <c r="A144" s="1" t="s">
        <v>1795</v>
      </c>
      <c r="B144" s="1" t="s">
        <v>246</v>
      </c>
      <c r="C144" s="1" t="s">
        <v>5</v>
      </c>
      <c r="D144" s="1" t="s">
        <v>1796</v>
      </c>
    </row>
    <row r="145" ht="14.25" customHeight="1">
      <c r="A145" s="1" t="s">
        <v>1795</v>
      </c>
      <c r="B145" s="1" t="s">
        <v>246</v>
      </c>
      <c r="C145" s="1" t="s">
        <v>6</v>
      </c>
      <c r="D145" s="1" t="s">
        <v>21</v>
      </c>
    </row>
    <row r="146" ht="14.25" customHeight="1">
      <c r="A146" s="1" t="s">
        <v>1797</v>
      </c>
      <c r="B146" s="1" t="s">
        <v>381</v>
      </c>
      <c r="C146" s="1" t="s">
        <v>7</v>
      </c>
      <c r="D146" s="1" t="s">
        <v>25</v>
      </c>
    </row>
    <row r="147" ht="14.25" customHeight="1">
      <c r="A147" s="1" t="s">
        <v>1797</v>
      </c>
      <c r="B147" s="1" t="s">
        <v>381</v>
      </c>
      <c r="C147" s="1" t="s">
        <v>5</v>
      </c>
      <c r="D147" s="1" t="s">
        <v>1798</v>
      </c>
    </row>
    <row r="148" ht="14.25" customHeight="1">
      <c r="A148" s="1" t="s">
        <v>1797</v>
      </c>
      <c r="B148" s="1" t="s">
        <v>381</v>
      </c>
      <c r="C148" s="1" t="s">
        <v>6</v>
      </c>
      <c r="D148" s="1" t="s">
        <v>15</v>
      </c>
    </row>
    <row r="149" ht="14.25" customHeight="1">
      <c r="A149" s="1" t="s">
        <v>1799</v>
      </c>
      <c r="B149" s="1" t="s">
        <v>230</v>
      </c>
      <c r="C149" s="1" t="s">
        <v>7</v>
      </c>
      <c r="D149" s="1" t="s">
        <v>13</v>
      </c>
    </row>
    <row r="150" ht="14.25" customHeight="1">
      <c r="A150" s="1" t="s">
        <v>1799</v>
      </c>
      <c r="B150" s="1" t="s">
        <v>230</v>
      </c>
      <c r="C150" s="1" t="s">
        <v>5</v>
      </c>
      <c r="D150" s="1" t="s">
        <v>1800</v>
      </c>
    </row>
    <row r="151" ht="14.25" customHeight="1">
      <c r="A151" s="1" t="s">
        <v>1799</v>
      </c>
      <c r="B151" s="1" t="s">
        <v>230</v>
      </c>
      <c r="C151" s="1" t="s">
        <v>6</v>
      </c>
      <c r="D151" s="1" t="s">
        <v>15</v>
      </c>
    </row>
    <row r="152" ht="14.25" customHeight="1">
      <c r="A152" s="1" t="s">
        <v>1801</v>
      </c>
      <c r="B152" s="1" t="s">
        <v>339</v>
      </c>
      <c r="C152" s="1" t="s">
        <v>7</v>
      </c>
      <c r="D152" s="1" t="s">
        <v>13</v>
      </c>
    </row>
    <row r="153" ht="14.25" customHeight="1">
      <c r="A153" s="1" t="s">
        <v>1801</v>
      </c>
      <c r="B153" s="1" t="s">
        <v>339</v>
      </c>
      <c r="C153" s="1" t="s">
        <v>5</v>
      </c>
      <c r="D153" s="1" t="s">
        <v>1802</v>
      </c>
    </row>
    <row r="154" ht="14.25" customHeight="1">
      <c r="A154" s="1" t="s">
        <v>1801</v>
      </c>
      <c r="B154" s="1" t="s">
        <v>339</v>
      </c>
      <c r="C154" s="1" t="s">
        <v>6</v>
      </c>
      <c r="D154" s="1" t="s">
        <v>21</v>
      </c>
    </row>
    <row r="155" ht="14.25" customHeight="1">
      <c r="A155" s="1" t="s">
        <v>1803</v>
      </c>
      <c r="B155" s="1" t="s">
        <v>185</v>
      </c>
      <c r="C155" s="1" t="s">
        <v>7</v>
      </c>
      <c r="D155" s="1" t="s">
        <v>13</v>
      </c>
    </row>
    <row r="156" ht="14.25" customHeight="1">
      <c r="A156" s="1" t="s">
        <v>1803</v>
      </c>
      <c r="B156" s="1" t="s">
        <v>185</v>
      </c>
      <c r="C156" s="1" t="s">
        <v>5</v>
      </c>
      <c r="D156" s="1" t="s">
        <v>1804</v>
      </c>
    </row>
    <row r="157" ht="14.25" customHeight="1">
      <c r="A157" s="1" t="s">
        <v>1803</v>
      </c>
      <c r="B157" s="1" t="s">
        <v>185</v>
      </c>
      <c r="C157" s="1" t="s">
        <v>6</v>
      </c>
      <c r="D157" s="1" t="s">
        <v>11</v>
      </c>
    </row>
    <row r="158" ht="14.25" customHeight="1">
      <c r="A158" s="1" t="s">
        <v>1805</v>
      </c>
      <c r="B158" s="1" t="s">
        <v>239</v>
      </c>
      <c r="C158" s="1" t="s">
        <v>7</v>
      </c>
      <c r="D158" s="1" t="s">
        <v>9</v>
      </c>
    </row>
    <row r="159" ht="14.25" customHeight="1">
      <c r="A159" s="1" t="s">
        <v>1805</v>
      </c>
      <c r="B159" s="1" t="s">
        <v>239</v>
      </c>
      <c r="C159" s="1" t="s">
        <v>5</v>
      </c>
      <c r="D159" s="1" t="s">
        <v>1806</v>
      </c>
    </row>
    <row r="160" ht="14.25" customHeight="1">
      <c r="A160" s="1" t="s">
        <v>1805</v>
      </c>
      <c r="B160" s="1" t="s">
        <v>239</v>
      </c>
      <c r="C160" s="1" t="s">
        <v>6</v>
      </c>
      <c r="D160" s="1" t="s">
        <v>21</v>
      </c>
    </row>
    <row r="161" ht="14.25" customHeight="1">
      <c r="A161" s="1" t="s">
        <v>1807</v>
      </c>
      <c r="B161" s="1" t="s">
        <v>273</v>
      </c>
      <c r="C161" s="1" t="s">
        <v>7</v>
      </c>
      <c r="D161" s="1" t="s">
        <v>25</v>
      </c>
    </row>
    <row r="162" ht="14.25" customHeight="1">
      <c r="A162" s="1" t="s">
        <v>1807</v>
      </c>
      <c r="B162" s="1" t="s">
        <v>273</v>
      </c>
      <c r="C162" s="1" t="s">
        <v>5</v>
      </c>
      <c r="D162" s="1" t="s">
        <v>1808</v>
      </c>
    </row>
    <row r="163" ht="14.25" customHeight="1">
      <c r="A163" s="1" t="s">
        <v>1807</v>
      </c>
      <c r="B163" s="1" t="s">
        <v>273</v>
      </c>
      <c r="C163" s="1" t="s">
        <v>6</v>
      </c>
      <c r="D163" s="1" t="s">
        <v>11</v>
      </c>
    </row>
    <row r="164" ht="14.25" customHeight="1">
      <c r="A164" s="1" t="s">
        <v>1809</v>
      </c>
      <c r="B164" s="1" t="s">
        <v>211</v>
      </c>
      <c r="C164" s="1" t="s">
        <v>7</v>
      </c>
      <c r="D164" s="1" t="s">
        <v>19</v>
      </c>
    </row>
    <row r="165" ht="14.25" customHeight="1">
      <c r="A165" s="1" t="s">
        <v>1809</v>
      </c>
      <c r="B165" s="1" t="s">
        <v>211</v>
      </c>
      <c r="C165" s="1" t="s">
        <v>5</v>
      </c>
      <c r="D165" s="1" t="s">
        <v>1810</v>
      </c>
    </row>
    <row r="166" ht="14.25" customHeight="1">
      <c r="A166" s="1" t="s">
        <v>1809</v>
      </c>
      <c r="B166" s="1" t="s">
        <v>211</v>
      </c>
      <c r="C166" s="1" t="s">
        <v>6</v>
      </c>
      <c r="D166" s="1" t="s">
        <v>15</v>
      </c>
    </row>
    <row r="167" ht="14.25" customHeight="1">
      <c r="A167" s="1" t="s">
        <v>1811</v>
      </c>
      <c r="B167" s="1" t="s">
        <v>310</v>
      </c>
      <c r="C167" s="1" t="s">
        <v>7</v>
      </c>
      <c r="D167" s="1" t="s">
        <v>25</v>
      </c>
    </row>
    <row r="168" ht="14.25" customHeight="1">
      <c r="A168" s="1" t="s">
        <v>1811</v>
      </c>
      <c r="B168" s="1" t="s">
        <v>310</v>
      </c>
      <c r="C168" s="1" t="s">
        <v>5</v>
      </c>
      <c r="D168" s="1" t="s">
        <v>1812</v>
      </c>
    </row>
    <row r="169" ht="14.25" customHeight="1">
      <c r="A169" s="1" t="s">
        <v>1811</v>
      </c>
      <c r="B169" s="1" t="s">
        <v>310</v>
      </c>
      <c r="C169" s="1" t="s">
        <v>6</v>
      </c>
      <c r="D169" s="1" t="s">
        <v>15</v>
      </c>
    </row>
    <row r="170" ht="14.25" customHeight="1">
      <c r="A170" s="1" t="s">
        <v>1813</v>
      </c>
      <c r="B170" s="1" t="s">
        <v>307</v>
      </c>
      <c r="C170" s="1" t="s">
        <v>7</v>
      </c>
      <c r="D170" s="1" t="s">
        <v>9</v>
      </c>
    </row>
    <row r="171" ht="14.25" customHeight="1">
      <c r="A171" s="1" t="s">
        <v>1813</v>
      </c>
      <c r="B171" s="1" t="s">
        <v>307</v>
      </c>
      <c r="C171" s="1" t="s">
        <v>5</v>
      </c>
      <c r="D171" s="1" t="s">
        <v>1814</v>
      </c>
    </row>
    <row r="172" ht="14.25" customHeight="1">
      <c r="A172" s="1" t="s">
        <v>1813</v>
      </c>
      <c r="B172" s="1" t="s">
        <v>307</v>
      </c>
      <c r="C172" s="1" t="s">
        <v>6</v>
      </c>
      <c r="D172" s="1" t="s">
        <v>21</v>
      </c>
    </row>
    <row r="173" ht="14.25" customHeight="1">
      <c r="A173" s="1" t="s">
        <v>1815</v>
      </c>
      <c r="B173" s="1" t="s">
        <v>230</v>
      </c>
      <c r="C173" s="1" t="s">
        <v>7</v>
      </c>
      <c r="D173" s="1" t="s">
        <v>25</v>
      </c>
    </row>
    <row r="174" ht="14.25" customHeight="1">
      <c r="A174" s="1" t="s">
        <v>1815</v>
      </c>
      <c r="B174" s="1" t="s">
        <v>230</v>
      </c>
      <c r="C174" s="1" t="s">
        <v>5</v>
      </c>
      <c r="D174" s="1" t="s">
        <v>1816</v>
      </c>
    </row>
    <row r="175" ht="14.25" customHeight="1">
      <c r="A175" s="1" t="s">
        <v>1815</v>
      </c>
      <c r="B175" s="1" t="s">
        <v>230</v>
      </c>
      <c r="C175" s="1" t="s">
        <v>6</v>
      </c>
      <c r="D175" s="1" t="s">
        <v>15</v>
      </c>
    </row>
    <row r="176" ht="14.25" customHeight="1">
      <c r="A176" s="1" t="s">
        <v>1817</v>
      </c>
      <c r="B176" s="1" t="s">
        <v>239</v>
      </c>
      <c r="C176" s="1" t="s">
        <v>7</v>
      </c>
      <c r="D176" s="1" t="s">
        <v>13</v>
      </c>
    </row>
    <row r="177" ht="14.25" customHeight="1">
      <c r="A177" s="1" t="s">
        <v>1817</v>
      </c>
      <c r="B177" s="1" t="s">
        <v>239</v>
      </c>
      <c r="C177" s="1" t="s">
        <v>5</v>
      </c>
      <c r="D177" s="1" t="s">
        <v>1818</v>
      </c>
    </row>
    <row r="178" ht="14.25" customHeight="1">
      <c r="A178" s="1" t="s">
        <v>1817</v>
      </c>
      <c r="B178" s="1" t="s">
        <v>239</v>
      </c>
      <c r="C178" s="1" t="s">
        <v>6</v>
      </c>
      <c r="D178" s="1" t="s">
        <v>11</v>
      </c>
    </row>
    <row r="179" ht="14.25" customHeight="1">
      <c r="A179" s="1" t="s">
        <v>1819</v>
      </c>
      <c r="B179" s="1" t="s">
        <v>310</v>
      </c>
      <c r="C179" s="1" t="s">
        <v>7</v>
      </c>
      <c r="D179" s="1" t="s">
        <v>19</v>
      </c>
    </row>
    <row r="180" ht="14.25" customHeight="1">
      <c r="A180" s="1" t="s">
        <v>1819</v>
      </c>
      <c r="B180" s="1" t="s">
        <v>310</v>
      </c>
      <c r="C180" s="1" t="s">
        <v>5</v>
      </c>
      <c r="D180" s="1" t="s">
        <v>1820</v>
      </c>
    </row>
    <row r="181" ht="14.25" customHeight="1">
      <c r="A181" s="1" t="s">
        <v>1819</v>
      </c>
      <c r="B181" s="1" t="s">
        <v>310</v>
      </c>
      <c r="C181" s="1" t="s">
        <v>6</v>
      </c>
      <c r="D181" s="1" t="s">
        <v>21</v>
      </c>
    </row>
    <row r="182" ht="14.25" customHeight="1">
      <c r="A182" s="1" t="s">
        <v>1821</v>
      </c>
      <c r="B182" s="1" t="s">
        <v>324</v>
      </c>
      <c r="C182" s="1" t="s">
        <v>7</v>
      </c>
      <c r="D182" s="1" t="s">
        <v>19</v>
      </c>
    </row>
    <row r="183" ht="14.25" customHeight="1">
      <c r="A183" s="1" t="s">
        <v>1821</v>
      </c>
      <c r="B183" s="1" t="s">
        <v>324</v>
      </c>
      <c r="C183" s="1" t="s">
        <v>5</v>
      </c>
      <c r="D183" s="1" t="s">
        <v>374</v>
      </c>
    </row>
    <row r="184" ht="14.25" customHeight="1">
      <c r="A184" s="1" t="s">
        <v>1821</v>
      </c>
      <c r="B184" s="1" t="s">
        <v>324</v>
      </c>
      <c r="C184" s="1" t="s">
        <v>6</v>
      </c>
      <c r="D184" s="1" t="s">
        <v>15</v>
      </c>
    </row>
    <row r="185" ht="14.25" customHeight="1">
      <c r="A185" s="1" t="s">
        <v>1822</v>
      </c>
      <c r="B185" s="1" t="s">
        <v>230</v>
      </c>
      <c r="C185" s="1" t="s">
        <v>7</v>
      </c>
      <c r="D185" s="1" t="s">
        <v>13</v>
      </c>
    </row>
    <row r="186" ht="14.25" customHeight="1">
      <c r="A186" s="1" t="s">
        <v>1822</v>
      </c>
      <c r="B186" s="1" t="s">
        <v>230</v>
      </c>
      <c r="C186" s="1" t="s">
        <v>5</v>
      </c>
      <c r="D186" s="1" t="s">
        <v>1336</v>
      </c>
    </row>
    <row r="187" ht="14.25" customHeight="1">
      <c r="A187" s="1" t="s">
        <v>1822</v>
      </c>
      <c r="B187" s="1" t="s">
        <v>230</v>
      </c>
      <c r="C187" s="1" t="s">
        <v>6</v>
      </c>
      <c r="D187" s="1" t="s">
        <v>15</v>
      </c>
    </row>
    <row r="188" ht="14.25" customHeight="1">
      <c r="A188" s="1" t="s">
        <v>1823</v>
      </c>
      <c r="B188" s="1" t="s">
        <v>182</v>
      </c>
      <c r="C188" s="1" t="s">
        <v>7</v>
      </c>
      <c r="D188" s="1" t="s">
        <v>9</v>
      </c>
    </row>
    <row r="189" ht="14.25" customHeight="1">
      <c r="A189" s="1" t="s">
        <v>1823</v>
      </c>
      <c r="B189" s="1" t="s">
        <v>182</v>
      </c>
      <c r="C189" s="1" t="s">
        <v>5</v>
      </c>
      <c r="D189" s="1" t="s">
        <v>1824</v>
      </c>
    </row>
    <row r="190" ht="14.25" customHeight="1">
      <c r="A190" s="1" t="s">
        <v>1823</v>
      </c>
      <c r="B190" s="1" t="s">
        <v>182</v>
      </c>
      <c r="C190" s="1" t="s">
        <v>6</v>
      </c>
      <c r="D190" s="1" t="s">
        <v>15</v>
      </c>
    </row>
    <row r="191" ht="14.25" customHeight="1">
      <c r="A191" s="1" t="s">
        <v>1825</v>
      </c>
      <c r="B191" s="1" t="s">
        <v>307</v>
      </c>
      <c r="C191" s="1" t="s">
        <v>7</v>
      </c>
      <c r="D191" s="1" t="s">
        <v>25</v>
      </c>
    </row>
    <row r="192" ht="14.25" customHeight="1">
      <c r="A192" s="1" t="s">
        <v>1825</v>
      </c>
      <c r="B192" s="1" t="s">
        <v>307</v>
      </c>
      <c r="C192" s="1" t="s">
        <v>5</v>
      </c>
      <c r="D192" s="1" t="s">
        <v>1826</v>
      </c>
    </row>
    <row r="193" ht="14.25" customHeight="1">
      <c r="A193" s="1" t="s">
        <v>1825</v>
      </c>
      <c r="B193" s="1" t="s">
        <v>307</v>
      </c>
      <c r="C193" s="1" t="s">
        <v>6</v>
      </c>
      <c r="D193" s="1" t="s">
        <v>11</v>
      </c>
    </row>
    <row r="194" ht="14.25" customHeight="1">
      <c r="A194" s="1" t="s">
        <v>1827</v>
      </c>
      <c r="B194" s="1" t="s">
        <v>214</v>
      </c>
      <c r="C194" s="1" t="s">
        <v>7</v>
      </c>
      <c r="D194" s="1" t="s">
        <v>25</v>
      </c>
    </row>
    <row r="195" ht="14.25" customHeight="1">
      <c r="A195" s="1" t="s">
        <v>1827</v>
      </c>
      <c r="B195" s="1" t="s">
        <v>214</v>
      </c>
      <c r="C195" s="1" t="s">
        <v>5</v>
      </c>
      <c r="D195" s="1" t="s">
        <v>1828</v>
      </c>
    </row>
    <row r="196" ht="14.25" customHeight="1">
      <c r="A196" s="1" t="s">
        <v>1827</v>
      </c>
      <c r="B196" s="1" t="s">
        <v>214</v>
      </c>
      <c r="C196" s="1" t="s">
        <v>6</v>
      </c>
      <c r="D196" s="1" t="s">
        <v>21</v>
      </c>
    </row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1829</v>
      </c>
      <c r="B2" s="1" t="s">
        <v>273</v>
      </c>
      <c r="C2" s="1" t="s">
        <v>7</v>
      </c>
      <c r="D2" s="1" t="s">
        <v>9</v>
      </c>
      <c r="F2" s="4" t="str">
        <f>IFERROR(__xludf.DUMMYFUNCTION("UNIQUE(A2:A1000)"),"931463")</f>
        <v>931463</v>
      </c>
      <c r="G2" s="4" t="str">
        <f t="shared" ref="G2:G91" si="1">CONCATENATE("12","/",VLOOKUP(F2, A2:D1000, 2, false),"/",2023)</f>
        <v>12/22/2023</v>
      </c>
      <c r="H2" s="4" t="str">
        <f t="shared" ref="H2:H91" si="2">INDEX(D:D, MATCH(1, ($A:$A = $F2) * ($C:$C = $H$1), 0))</f>
        <v>8/30/1978</v>
      </c>
      <c r="I2" s="4" t="str">
        <f t="shared" ref="I2:I91" si="3">INDEX(D:D, MATCH(1, ($A:$A = $F2) * ($C:$C = $I$1), 0))</f>
        <v>Platinum</v>
      </c>
      <c r="J2" s="4" t="str">
        <f t="shared" ref="J2:J91" si="4">INDEX(D:D, MATCH(1, ($A:$A = $F2) * ($C:$C = $J$1), 0))</f>
        <v>Other</v>
      </c>
    </row>
    <row r="3" ht="14.25" customHeight="1">
      <c r="A3" s="1" t="s">
        <v>1829</v>
      </c>
      <c r="B3" s="1" t="s">
        <v>273</v>
      </c>
      <c r="C3" s="1" t="s">
        <v>5</v>
      </c>
      <c r="D3" s="1" t="s">
        <v>1830</v>
      </c>
      <c r="F3" s="1" t="str">
        <f>IFERROR(__xludf.DUMMYFUNCTION("""COMPUTED_VALUE"""),"973596")</f>
        <v>973596</v>
      </c>
      <c r="G3" s="4" t="str">
        <f t="shared" si="1"/>
        <v>12/16/2023</v>
      </c>
      <c r="H3" s="4" t="str">
        <f t="shared" si="2"/>
        <v>2/22/1971</v>
      </c>
      <c r="I3" s="4" t="str">
        <f t="shared" si="3"/>
        <v>Platinum</v>
      </c>
      <c r="J3" s="4" t="str">
        <f t="shared" si="4"/>
        <v>Other</v>
      </c>
    </row>
    <row r="4" ht="14.25" customHeight="1">
      <c r="A4" s="1" t="s">
        <v>1829</v>
      </c>
      <c r="B4" s="1" t="s">
        <v>273</v>
      </c>
      <c r="C4" s="1" t="s">
        <v>6</v>
      </c>
      <c r="D4" s="1" t="s">
        <v>11</v>
      </c>
      <c r="F4" s="1" t="str">
        <f>IFERROR(__xludf.DUMMYFUNCTION("""COMPUTED_VALUE"""),"158712")</f>
        <v>158712</v>
      </c>
      <c r="G4" s="4" t="str">
        <f t="shared" si="1"/>
        <v>12/13/2023</v>
      </c>
      <c r="H4" s="4" t="str">
        <f t="shared" si="2"/>
        <v>11/27/1948</v>
      </c>
      <c r="I4" s="4" t="str">
        <f t="shared" si="3"/>
        <v>Gold</v>
      </c>
      <c r="J4" s="4" t="str">
        <f t="shared" si="4"/>
        <v>Black</v>
      </c>
    </row>
    <row r="5" ht="14.25" customHeight="1">
      <c r="A5" s="1" t="s">
        <v>1831</v>
      </c>
      <c r="B5" s="1" t="s">
        <v>249</v>
      </c>
      <c r="C5" s="1" t="s">
        <v>7</v>
      </c>
      <c r="D5" s="1" t="s">
        <v>9</v>
      </c>
      <c r="F5" s="1" t="str">
        <f>IFERROR(__xludf.DUMMYFUNCTION("""COMPUTED_VALUE"""),"829567")</f>
        <v>829567</v>
      </c>
      <c r="G5" s="4" t="str">
        <f t="shared" si="1"/>
        <v>12/19/2023</v>
      </c>
      <c r="H5" s="4" t="str">
        <f t="shared" si="2"/>
        <v>5/17/2019</v>
      </c>
      <c r="I5" s="4" t="str">
        <f t="shared" si="3"/>
        <v>Gold</v>
      </c>
      <c r="J5" s="4" t="str">
        <f t="shared" si="4"/>
        <v>Asian</v>
      </c>
    </row>
    <row r="6" ht="14.25" customHeight="1">
      <c r="A6" s="1" t="s">
        <v>1831</v>
      </c>
      <c r="B6" s="1" t="s">
        <v>249</v>
      </c>
      <c r="C6" s="1" t="s">
        <v>5</v>
      </c>
      <c r="D6" s="1" t="s">
        <v>1832</v>
      </c>
      <c r="F6" s="1" t="str">
        <f>IFERROR(__xludf.DUMMYFUNCTION("""COMPUTED_VALUE"""),"765708")</f>
        <v>765708</v>
      </c>
      <c r="G6" s="4" t="str">
        <f t="shared" si="1"/>
        <v>12/21/2023</v>
      </c>
      <c r="H6" s="4" t="str">
        <f t="shared" si="2"/>
        <v>6/27/1982</v>
      </c>
      <c r="I6" s="4" t="str">
        <f t="shared" si="3"/>
        <v>Basic</v>
      </c>
      <c r="J6" s="4" t="str">
        <f t="shared" si="4"/>
        <v>Black</v>
      </c>
    </row>
    <row r="7" ht="14.25" customHeight="1">
      <c r="A7" s="1" t="s">
        <v>1831</v>
      </c>
      <c r="B7" s="1" t="s">
        <v>249</v>
      </c>
      <c r="C7" s="1" t="s">
        <v>6</v>
      </c>
      <c r="D7" s="1" t="s">
        <v>11</v>
      </c>
      <c r="F7" s="1" t="str">
        <f>IFERROR(__xludf.DUMMYFUNCTION("""COMPUTED_VALUE"""),"147410")</f>
        <v>147410</v>
      </c>
      <c r="G7" s="4" t="str">
        <f t="shared" si="1"/>
        <v>12/8/2023</v>
      </c>
      <c r="H7" s="4" t="str">
        <f t="shared" si="2"/>
        <v>10/2/2008</v>
      </c>
      <c r="I7" s="4" t="str">
        <f t="shared" si="3"/>
        <v>Platinum</v>
      </c>
      <c r="J7" s="4" t="str">
        <f t="shared" si="4"/>
        <v>White</v>
      </c>
    </row>
    <row r="8" ht="14.25" customHeight="1">
      <c r="A8" s="1" t="s">
        <v>1833</v>
      </c>
      <c r="B8" s="1" t="s">
        <v>398</v>
      </c>
      <c r="C8" s="1" t="s">
        <v>7</v>
      </c>
      <c r="D8" s="1" t="s">
        <v>25</v>
      </c>
      <c r="F8" s="1" t="str">
        <f>IFERROR(__xludf.DUMMYFUNCTION("""COMPUTED_VALUE"""),"268700")</f>
        <v>268700</v>
      </c>
      <c r="G8" s="4" t="str">
        <f t="shared" si="1"/>
        <v>12/4/2023</v>
      </c>
      <c r="H8" s="4" t="str">
        <f t="shared" si="2"/>
        <v>10/5/2008</v>
      </c>
      <c r="I8" s="4" t="str">
        <f t="shared" si="3"/>
        <v>Gold</v>
      </c>
      <c r="J8" s="4" t="str">
        <f t="shared" si="4"/>
        <v>White</v>
      </c>
    </row>
    <row r="9" ht="14.25" customHeight="1">
      <c r="A9" s="1" t="s">
        <v>1833</v>
      </c>
      <c r="B9" s="1" t="s">
        <v>398</v>
      </c>
      <c r="C9" s="1" t="s">
        <v>5</v>
      </c>
      <c r="D9" s="1" t="s">
        <v>1834</v>
      </c>
      <c r="F9" s="1" t="str">
        <f>IFERROR(__xludf.DUMMYFUNCTION("""COMPUTED_VALUE"""),"932627")</f>
        <v>932627</v>
      </c>
      <c r="G9" s="4" t="str">
        <f t="shared" si="1"/>
        <v>12/12/2023</v>
      </c>
      <c r="H9" s="4" t="str">
        <f t="shared" si="2"/>
        <v>12/1/1953</v>
      </c>
      <c r="I9" s="4" t="str">
        <f t="shared" si="3"/>
        <v>Platinum</v>
      </c>
      <c r="J9" s="4" t="str">
        <f t="shared" si="4"/>
        <v>Other</v>
      </c>
    </row>
    <row r="10" ht="14.25" customHeight="1">
      <c r="A10" s="1" t="s">
        <v>1833</v>
      </c>
      <c r="B10" s="1" t="s">
        <v>398</v>
      </c>
      <c r="C10" s="1" t="s">
        <v>6</v>
      </c>
      <c r="D10" s="1" t="s">
        <v>15</v>
      </c>
      <c r="F10" s="1" t="str">
        <f>IFERROR(__xludf.DUMMYFUNCTION("""COMPUTED_VALUE"""),"745654")</f>
        <v>745654</v>
      </c>
      <c r="G10" s="4" t="str">
        <f t="shared" si="1"/>
        <v>12/8/2023</v>
      </c>
      <c r="H10" s="4" t="str">
        <f t="shared" si="2"/>
        <v>11/25/1996</v>
      </c>
      <c r="I10" s="4" t="str">
        <f t="shared" si="3"/>
        <v>Gold</v>
      </c>
      <c r="J10" s="4" t="str">
        <f t="shared" si="4"/>
        <v>Other</v>
      </c>
    </row>
    <row r="11" ht="14.25" customHeight="1">
      <c r="A11" s="1" t="s">
        <v>1835</v>
      </c>
      <c r="B11" s="1" t="s">
        <v>381</v>
      </c>
      <c r="C11" s="1" t="s">
        <v>7</v>
      </c>
      <c r="D11" s="1" t="s">
        <v>19</v>
      </c>
      <c r="F11" s="1" t="str">
        <f>IFERROR(__xludf.DUMMYFUNCTION("""COMPUTED_VALUE"""),"858465")</f>
        <v>858465</v>
      </c>
      <c r="G11" s="4" t="str">
        <f t="shared" si="1"/>
        <v>12/25/2023</v>
      </c>
      <c r="H11" s="4" t="str">
        <f t="shared" si="2"/>
        <v>7/2/1957</v>
      </c>
      <c r="I11" s="4" t="str">
        <f t="shared" si="3"/>
        <v>Basic</v>
      </c>
      <c r="J11" s="4" t="str">
        <f t="shared" si="4"/>
        <v>Black</v>
      </c>
    </row>
    <row r="12" ht="14.25" customHeight="1">
      <c r="A12" s="1" t="s">
        <v>1835</v>
      </c>
      <c r="B12" s="1" t="s">
        <v>381</v>
      </c>
      <c r="C12" s="1" t="s">
        <v>5</v>
      </c>
      <c r="D12" s="1" t="s">
        <v>1836</v>
      </c>
      <c r="F12" s="1" t="str">
        <f>IFERROR(__xludf.DUMMYFUNCTION("""COMPUTED_VALUE"""),"501352")</f>
        <v>501352</v>
      </c>
      <c r="G12" s="4" t="str">
        <f t="shared" si="1"/>
        <v>12/22/2023</v>
      </c>
      <c r="H12" s="4" t="str">
        <f t="shared" si="2"/>
        <v>6/29/1971</v>
      </c>
      <c r="I12" s="4" t="str">
        <f t="shared" si="3"/>
        <v>Basic</v>
      </c>
      <c r="J12" s="4" t="str">
        <f t="shared" si="4"/>
        <v>Black</v>
      </c>
    </row>
    <row r="13" ht="14.25" customHeight="1">
      <c r="A13" s="1" t="s">
        <v>1835</v>
      </c>
      <c r="B13" s="1" t="s">
        <v>381</v>
      </c>
      <c r="C13" s="1" t="s">
        <v>6</v>
      </c>
      <c r="D13" s="1" t="s">
        <v>15</v>
      </c>
      <c r="F13" s="1" t="str">
        <f>IFERROR(__xludf.DUMMYFUNCTION("""COMPUTED_VALUE"""),"704040")</f>
        <v>704040</v>
      </c>
      <c r="G13" s="4" t="str">
        <f t="shared" si="1"/>
        <v>12/6/2023</v>
      </c>
      <c r="H13" s="4" t="str">
        <f t="shared" si="2"/>
        <v>8/1/1993</v>
      </c>
      <c r="I13" s="4" t="str">
        <f t="shared" si="3"/>
        <v>Basic</v>
      </c>
      <c r="J13" s="4" t="str">
        <f t="shared" si="4"/>
        <v>Asian</v>
      </c>
    </row>
    <row r="14" ht="14.25" customHeight="1">
      <c r="A14" s="1" t="s">
        <v>1837</v>
      </c>
      <c r="B14" s="1" t="s">
        <v>339</v>
      </c>
      <c r="C14" s="1" t="s">
        <v>7</v>
      </c>
      <c r="D14" s="1" t="s">
        <v>25</v>
      </c>
      <c r="F14" s="1" t="str">
        <f>IFERROR(__xludf.DUMMYFUNCTION("""COMPUTED_VALUE"""),"926550")</f>
        <v>926550</v>
      </c>
      <c r="G14" s="4" t="str">
        <f t="shared" si="1"/>
        <v>12/6/2023</v>
      </c>
      <c r="H14" s="4" t="str">
        <f t="shared" si="2"/>
        <v>10/31/1942</v>
      </c>
      <c r="I14" s="4" t="str">
        <f t="shared" si="3"/>
        <v>Basic</v>
      </c>
      <c r="J14" s="4" t="str">
        <f t="shared" si="4"/>
        <v>Asian</v>
      </c>
    </row>
    <row r="15" ht="14.25" customHeight="1">
      <c r="A15" s="1" t="s">
        <v>1837</v>
      </c>
      <c r="B15" s="1" t="s">
        <v>339</v>
      </c>
      <c r="C15" s="1" t="s">
        <v>5</v>
      </c>
      <c r="D15" s="1" t="s">
        <v>1838</v>
      </c>
      <c r="F15" s="1" t="str">
        <f>IFERROR(__xludf.DUMMYFUNCTION("""COMPUTED_VALUE"""),"669150")</f>
        <v>669150</v>
      </c>
      <c r="G15" s="4" t="str">
        <f t="shared" si="1"/>
        <v>12/27/2023</v>
      </c>
      <c r="H15" s="4" t="str">
        <f t="shared" si="2"/>
        <v>10/27/1963</v>
      </c>
      <c r="I15" s="4" t="str">
        <f t="shared" si="3"/>
        <v>Platinum</v>
      </c>
      <c r="J15" s="4" t="str">
        <f t="shared" si="4"/>
        <v>Black</v>
      </c>
    </row>
    <row r="16" ht="14.25" customHeight="1">
      <c r="A16" s="1" t="s">
        <v>1837</v>
      </c>
      <c r="B16" s="1" t="s">
        <v>339</v>
      </c>
      <c r="C16" s="1" t="s">
        <v>6</v>
      </c>
      <c r="D16" s="1" t="s">
        <v>21</v>
      </c>
      <c r="F16" s="1" t="str">
        <f>IFERROR(__xludf.DUMMYFUNCTION("""COMPUTED_VALUE"""),"232108")</f>
        <v>232108</v>
      </c>
      <c r="G16" s="4" t="str">
        <f t="shared" si="1"/>
        <v>12/10/2023</v>
      </c>
      <c r="H16" s="4" t="str">
        <f t="shared" si="2"/>
        <v>1/24/2009</v>
      </c>
      <c r="I16" s="4" t="str">
        <f t="shared" si="3"/>
        <v>Gold</v>
      </c>
      <c r="J16" s="4" t="str">
        <f t="shared" si="4"/>
        <v>Asian</v>
      </c>
    </row>
    <row r="17" ht="14.25" customHeight="1">
      <c r="A17" s="1" t="s">
        <v>1839</v>
      </c>
      <c r="B17" s="1" t="s">
        <v>191</v>
      </c>
      <c r="C17" s="1" t="s">
        <v>7</v>
      </c>
      <c r="D17" s="1" t="s">
        <v>13</v>
      </c>
      <c r="F17" s="1" t="str">
        <f>IFERROR(__xludf.DUMMYFUNCTION("""COMPUTED_VALUE"""),"271167")</f>
        <v>271167</v>
      </c>
      <c r="G17" s="4" t="str">
        <f t="shared" si="1"/>
        <v>12/15/2023</v>
      </c>
      <c r="H17" s="4" t="str">
        <f t="shared" si="2"/>
        <v>5/23/1944</v>
      </c>
      <c r="I17" s="4" t="str">
        <f t="shared" si="3"/>
        <v>Platinum</v>
      </c>
      <c r="J17" s="4" t="str">
        <f t="shared" si="4"/>
        <v>Asian</v>
      </c>
    </row>
    <row r="18" ht="14.25" customHeight="1">
      <c r="A18" s="1" t="s">
        <v>1839</v>
      </c>
      <c r="B18" s="1" t="s">
        <v>191</v>
      </c>
      <c r="C18" s="1" t="s">
        <v>5</v>
      </c>
      <c r="D18" s="1" t="s">
        <v>1840</v>
      </c>
      <c r="F18" s="1" t="str">
        <f>IFERROR(__xludf.DUMMYFUNCTION("""COMPUTED_VALUE"""),"536823")</f>
        <v>536823</v>
      </c>
      <c r="G18" s="4" t="str">
        <f t="shared" si="1"/>
        <v>12/11/2023</v>
      </c>
      <c r="H18" s="4" t="str">
        <f t="shared" si="2"/>
        <v>6/17/1985</v>
      </c>
      <c r="I18" s="4" t="str">
        <f t="shared" si="3"/>
        <v>Gold</v>
      </c>
      <c r="J18" s="4" t="str">
        <f t="shared" si="4"/>
        <v>Black</v>
      </c>
    </row>
    <row r="19" ht="14.25" customHeight="1">
      <c r="A19" s="1" t="s">
        <v>1839</v>
      </c>
      <c r="B19" s="1" t="s">
        <v>191</v>
      </c>
      <c r="C19" s="1" t="s">
        <v>6</v>
      </c>
      <c r="D19" s="1" t="s">
        <v>11</v>
      </c>
      <c r="F19" s="1" t="str">
        <f>IFERROR(__xludf.DUMMYFUNCTION("""COMPUTED_VALUE"""),"353144")</f>
        <v>353144</v>
      </c>
      <c r="G19" s="4" t="str">
        <f t="shared" si="1"/>
        <v>12/19/2023</v>
      </c>
      <c r="H19" s="4" t="str">
        <f t="shared" si="2"/>
        <v>12/8/2019</v>
      </c>
      <c r="I19" s="4" t="str">
        <f t="shared" si="3"/>
        <v>Gold</v>
      </c>
      <c r="J19" s="4" t="str">
        <f t="shared" si="4"/>
        <v>Other</v>
      </c>
    </row>
    <row r="20" ht="14.25" customHeight="1">
      <c r="A20" s="1" t="s">
        <v>1841</v>
      </c>
      <c r="B20" s="1" t="s">
        <v>310</v>
      </c>
      <c r="C20" s="1" t="s">
        <v>7</v>
      </c>
      <c r="D20" s="1" t="s">
        <v>13</v>
      </c>
      <c r="F20" s="1" t="str">
        <f>IFERROR(__xludf.DUMMYFUNCTION("""COMPUTED_VALUE"""),"511565")</f>
        <v>511565</v>
      </c>
      <c r="G20" s="4" t="str">
        <f t="shared" si="1"/>
        <v>12/7/2023</v>
      </c>
      <c r="H20" s="4" t="str">
        <f t="shared" si="2"/>
        <v>3/17/1995</v>
      </c>
      <c r="I20" s="4" t="str">
        <f t="shared" si="3"/>
        <v>Platinum</v>
      </c>
      <c r="J20" s="4" t="str">
        <f t="shared" si="4"/>
        <v>Black</v>
      </c>
    </row>
    <row r="21" ht="14.25" customHeight="1">
      <c r="A21" s="1" t="s">
        <v>1841</v>
      </c>
      <c r="B21" s="1" t="s">
        <v>310</v>
      </c>
      <c r="C21" s="1" t="s">
        <v>5</v>
      </c>
      <c r="D21" s="1" t="s">
        <v>1842</v>
      </c>
      <c r="F21" s="1" t="str">
        <f>IFERROR(__xludf.DUMMYFUNCTION("""COMPUTED_VALUE"""),"722586")</f>
        <v>722586</v>
      </c>
      <c r="G21" s="4" t="str">
        <f t="shared" si="1"/>
        <v>12/16/2023</v>
      </c>
      <c r="H21" s="4" t="str">
        <f t="shared" si="2"/>
        <v>5/15/1942</v>
      </c>
      <c r="I21" s="4" t="str">
        <f t="shared" si="3"/>
        <v>Gold</v>
      </c>
      <c r="J21" s="4" t="str">
        <f t="shared" si="4"/>
        <v>White</v>
      </c>
    </row>
    <row r="22" ht="14.25" customHeight="1">
      <c r="A22" s="1" t="s">
        <v>1841</v>
      </c>
      <c r="B22" s="1" t="s">
        <v>310</v>
      </c>
      <c r="C22" s="1" t="s">
        <v>6</v>
      </c>
      <c r="D22" s="1" t="s">
        <v>15</v>
      </c>
      <c r="F22" s="1" t="str">
        <f>IFERROR(__xludf.DUMMYFUNCTION("""COMPUTED_VALUE"""),"721246")</f>
        <v>721246</v>
      </c>
      <c r="G22" s="4" t="str">
        <f t="shared" si="1"/>
        <v>12/13/2023</v>
      </c>
      <c r="H22" s="4" t="str">
        <f t="shared" si="2"/>
        <v>6/24/2002</v>
      </c>
      <c r="I22" s="4" t="str">
        <f t="shared" si="3"/>
        <v>Gold</v>
      </c>
      <c r="J22" s="4" t="str">
        <f t="shared" si="4"/>
        <v>Asian</v>
      </c>
    </row>
    <row r="23" ht="14.25" customHeight="1">
      <c r="A23" s="1" t="s">
        <v>1843</v>
      </c>
      <c r="B23" s="1" t="s">
        <v>324</v>
      </c>
      <c r="C23" s="1" t="s">
        <v>7</v>
      </c>
      <c r="D23" s="1" t="s">
        <v>9</v>
      </c>
      <c r="F23" s="1" t="str">
        <f>IFERROR(__xludf.DUMMYFUNCTION("""COMPUTED_VALUE"""),"878212")</f>
        <v>878212</v>
      </c>
      <c r="G23" s="4" t="str">
        <f t="shared" si="1"/>
        <v>12/8/2023</v>
      </c>
      <c r="H23" s="4" t="str">
        <f t="shared" si="2"/>
        <v>3/1/1957</v>
      </c>
      <c r="I23" s="4" t="str">
        <f t="shared" si="3"/>
        <v>Basic</v>
      </c>
      <c r="J23" s="4" t="str">
        <f t="shared" si="4"/>
        <v>White</v>
      </c>
    </row>
    <row r="24" ht="14.25" customHeight="1">
      <c r="A24" s="1" t="s">
        <v>1843</v>
      </c>
      <c r="B24" s="1" t="s">
        <v>324</v>
      </c>
      <c r="C24" s="1" t="s">
        <v>5</v>
      </c>
      <c r="D24" s="1" t="s">
        <v>1844</v>
      </c>
      <c r="F24" s="1" t="str">
        <f>IFERROR(__xludf.DUMMYFUNCTION("""COMPUTED_VALUE"""),"983979")</f>
        <v>983979</v>
      </c>
      <c r="G24" s="4" t="str">
        <f t="shared" si="1"/>
        <v>12/27/2023</v>
      </c>
      <c r="H24" s="4" t="str">
        <f t="shared" si="2"/>
        <v>5/4/1954</v>
      </c>
      <c r="I24" s="4" t="str">
        <f t="shared" si="3"/>
        <v>Basic</v>
      </c>
      <c r="J24" s="4" t="str">
        <f t="shared" si="4"/>
        <v>White</v>
      </c>
    </row>
    <row r="25" ht="14.25" customHeight="1">
      <c r="A25" s="1" t="s">
        <v>1843</v>
      </c>
      <c r="B25" s="1" t="s">
        <v>324</v>
      </c>
      <c r="C25" s="1" t="s">
        <v>6</v>
      </c>
      <c r="D25" s="1" t="s">
        <v>11</v>
      </c>
      <c r="F25" s="1" t="str">
        <f>IFERROR(__xludf.DUMMYFUNCTION("""COMPUTED_VALUE"""),"428431")</f>
        <v>428431</v>
      </c>
      <c r="G25" s="4" t="str">
        <f t="shared" si="1"/>
        <v>12/9/2023</v>
      </c>
      <c r="H25" s="4" t="str">
        <f t="shared" si="2"/>
        <v>4/27/1993</v>
      </c>
      <c r="I25" s="4" t="str">
        <f t="shared" si="3"/>
        <v>Basic</v>
      </c>
      <c r="J25" s="4" t="str">
        <f t="shared" si="4"/>
        <v>Other</v>
      </c>
    </row>
    <row r="26" ht="14.25" customHeight="1">
      <c r="A26" s="1" t="s">
        <v>1845</v>
      </c>
      <c r="B26" s="1" t="s">
        <v>191</v>
      </c>
      <c r="C26" s="1" t="s">
        <v>7</v>
      </c>
      <c r="D26" s="1" t="s">
        <v>9</v>
      </c>
      <c r="F26" s="1" t="str">
        <f>IFERROR(__xludf.DUMMYFUNCTION("""COMPUTED_VALUE"""),"306981")</f>
        <v>306981</v>
      </c>
      <c r="G26" s="4" t="str">
        <f t="shared" si="1"/>
        <v>12/7/2023</v>
      </c>
      <c r="H26" s="4" t="str">
        <f t="shared" si="2"/>
        <v>1/27/1983</v>
      </c>
      <c r="I26" s="4" t="str">
        <f t="shared" si="3"/>
        <v>Basic</v>
      </c>
      <c r="J26" s="4" t="str">
        <f t="shared" si="4"/>
        <v>Other</v>
      </c>
    </row>
    <row r="27" ht="14.25" customHeight="1">
      <c r="A27" s="1" t="s">
        <v>1845</v>
      </c>
      <c r="B27" s="1" t="s">
        <v>191</v>
      </c>
      <c r="C27" s="1" t="s">
        <v>5</v>
      </c>
      <c r="D27" s="1" t="s">
        <v>1846</v>
      </c>
      <c r="F27" s="1" t="str">
        <f>IFERROR(__xludf.DUMMYFUNCTION("""COMPUTED_VALUE"""),"285333")</f>
        <v>285333</v>
      </c>
      <c r="G27" s="4" t="str">
        <f t="shared" si="1"/>
        <v>12/8/2023</v>
      </c>
      <c r="H27" s="4" t="str">
        <f t="shared" si="2"/>
        <v>3/22/1948</v>
      </c>
      <c r="I27" s="4" t="str">
        <f t="shared" si="3"/>
        <v>Gold</v>
      </c>
      <c r="J27" s="4" t="str">
        <f t="shared" si="4"/>
        <v>Other</v>
      </c>
    </row>
    <row r="28" ht="14.25" customHeight="1">
      <c r="A28" s="1" t="s">
        <v>1845</v>
      </c>
      <c r="B28" s="1" t="s">
        <v>191</v>
      </c>
      <c r="C28" s="1" t="s">
        <v>6</v>
      </c>
      <c r="D28" s="1" t="s">
        <v>15</v>
      </c>
      <c r="F28" s="1" t="str">
        <f>IFERROR(__xludf.DUMMYFUNCTION("""COMPUTED_VALUE"""),"779147")</f>
        <v>779147</v>
      </c>
      <c r="G28" s="4" t="str">
        <f t="shared" si="1"/>
        <v>12/27/2023</v>
      </c>
      <c r="H28" s="4" t="str">
        <f t="shared" si="2"/>
        <v>7/28/1989</v>
      </c>
      <c r="I28" s="4" t="str">
        <f t="shared" si="3"/>
        <v>Basic</v>
      </c>
      <c r="J28" s="4" t="str">
        <f t="shared" si="4"/>
        <v>Other</v>
      </c>
    </row>
    <row r="29" ht="14.25" customHeight="1">
      <c r="A29" s="1" t="s">
        <v>1847</v>
      </c>
      <c r="B29" s="1" t="s">
        <v>208</v>
      </c>
      <c r="C29" s="1" t="s">
        <v>7</v>
      </c>
      <c r="D29" s="1" t="s">
        <v>25</v>
      </c>
      <c r="F29" s="1" t="str">
        <f>IFERROR(__xludf.DUMMYFUNCTION("""COMPUTED_VALUE"""),"163418")</f>
        <v>163418</v>
      </c>
      <c r="G29" s="4" t="str">
        <f t="shared" si="1"/>
        <v>12/28/2023</v>
      </c>
      <c r="H29" s="4" t="str">
        <f t="shared" si="2"/>
        <v>10/24/2017</v>
      </c>
      <c r="I29" s="4" t="str">
        <f t="shared" si="3"/>
        <v>Platinum</v>
      </c>
      <c r="J29" s="4" t="str">
        <f t="shared" si="4"/>
        <v>Other</v>
      </c>
    </row>
    <row r="30" ht="14.25" customHeight="1">
      <c r="A30" s="1" t="s">
        <v>1847</v>
      </c>
      <c r="B30" s="1" t="s">
        <v>208</v>
      </c>
      <c r="C30" s="1" t="s">
        <v>5</v>
      </c>
      <c r="D30" s="1" t="s">
        <v>1848</v>
      </c>
      <c r="F30" s="1" t="str">
        <f>IFERROR(__xludf.DUMMYFUNCTION("""COMPUTED_VALUE"""),"850734")</f>
        <v>850734</v>
      </c>
      <c r="G30" s="4" t="str">
        <f t="shared" si="1"/>
        <v>12/19/2023</v>
      </c>
      <c r="H30" s="4" t="str">
        <f t="shared" si="2"/>
        <v>2/20/1968</v>
      </c>
      <c r="I30" s="4" t="str">
        <f t="shared" si="3"/>
        <v>Platinum</v>
      </c>
      <c r="J30" s="4" t="str">
        <f t="shared" si="4"/>
        <v>White</v>
      </c>
    </row>
    <row r="31" ht="14.25" customHeight="1">
      <c r="A31" s="1" t="s">
        <v>1847</v>
      </c>
      <c r="B31" s="1" t="s">
        <v>208</v>
      </c>
      <c r="C31" s="1" t="s">
        <v>6</v>
      </c>
      <c r="D31" s="1" t="s">
        <v>21</v>
      </c>
      <c r="F31" s="1" t="str">
        <f>IFERROR(__xludf.DUMMYFUNCTION("""COMPUTED_VALUE"""),"194739")</f>
        <v>194739</v>
      </c>
      <c r="G31" s="4" t="str">
        <f t="shared" si="1"/>
        <v>12/15/2023</v>
      </c>
      <c r="H31" s="4" t="str">
        <f t="shared" si="2"/>
        <v>3/29/2002</v>
      </c>
      <c r="I31" s="4" t="str">
        <f t="shared" si="3"/>
        <v>Basic</v>
      </c>
      <c r="J31" s="4" t="str">
        <f t="shared" si="4"/>
        <v>Other</v>
      </c>
    </row>
    <row r="32" ht="14.25" customHeight="1">
      <c r="A32" s="1" t="s">
        <v>1849</v>
      </c>
      <c r="B32" s="1" t="s">
        <v>273</v>
      </c>
      <c r="C32" s="1" t="s">
        <v>7</v>
      </c>
      <c r="D32" s="1" t="s">
        <v>25</v>
      </c>
      <c r="F32" s="1" t="str">
        <f>IFERROR(__xludf.DUMMYFUNCTION("""COMPUTED_VALUE"""),"587714")</f>
        <v>587714</v>
      </c>
      <c r="G32" s="4" t="str">
        <f t="shared" si="1"/>
        <v>12/1/2023</v>
      </c>
      <c r="H32" s="4" t="str">
        <f t="shared" si="2"/>
        <v>10/2/1952</v>
      </c>
      <c r="I32" s="4" t="str">
        <f t="shared" si="3"/>
        <v>Gold</v>
      </c>
      <c r="J32" s="4" t="str">
        <f t="shared" si="4"/>
        <v>White</v>
      </c>
    </row>
    <row r="33" ht="14.25" customHeight="1">
      <c r="A33" s="1" t="s">
        <v>1849</v>
      </c>
      <c r="B33" s="1" t="s">
        <v>273</v>
      </c>
      <c r="C33" s="1" t="s">
        <v>5</v>
      </c>
      <c r="D33" s="1" t="s">
        <v>1850</v>
      </c>
      <c r="F33" s="1" t="str">
        <f>IFERROR(__xludf.DUMMYFUNCTION("""COMPUTED_VALUE"""),"343327")</f>
        <v>343327</v>
      </c>
      <c r="G33" s="4" t="str">
        <f t="shared" si="1"/>
        <v>12/5/2023</v>
      </c>
      <c r="H33" s="4" t="str">
        <f t="shared" si="2"/>
        <v>6/12/1949</v>
      </c>
      <c r="I33" s="4" t="str">
        <f t="shared" si="3"/>
        <v>Gold</v>
      </c>
      <c r="J33" s="4" t="str">
        <f t="shared" si="4"/>
        <v>Asian</v>
      </c>
    </row>
    <row r="34" ht="14.25" customHeight="1">
      <c r="A34" s="1" t="s">
        <v>1849</v>
      </c>
      <c r="B34" s="1" t="s">
        <v>273</v>
      </c>
      <c r="C34" s="1" t="s">
        <v>6</v>
      </c>
      <c r="D34" s="1" t="s">
        <v>21</v>
      </c>
      <c r="F34" s="1" t="str">
        <f>IFERROR(__xludf.DUMMYFUNCTION("""COMPUTED_VALUE"""),"141861")</f>
        <v>141861</v>
      </c>
      <c r="G34" s="4" t="str">
        <f t="shared" si="1"/>
        <v>12/10/2023</v>
      </c>
      <c r="H34" s="4" t="str">
        <f t="shared" si="2"/>
        <v>6/13/2005</v>
      </c>
      <c r="I34" s="4" t="str">
        <f t="shared" si="3"/>
        <v>Gold</v>
      </c>
      <c r="J34" s="4" t="str">
        <f t="shared" si="4"/>
        <v>Other</v>
      </c>
    </row>
    <row r="35" ht="14.25" customHeight="1">
      <c r="A35" s="1" t="s">
        <v>1851</v>
      </c>
      <c r="B35" s="1" t="s">
        <v>194</v>
      </c>
      <c r="C35" s="1" t="s">
        <v>7</v>
      </c>
      <c r="D35" s="1" t="s">
        <v>19</v>
      </c>
      <c r="F35" s="1" t="str">
        <f>IFERROR(__xludf.DUMMYFUNCTION("""COMPUTED_VALUE"""),"270858")</f>
        <v>270858</v>
      </c>
      <c r="G35" s="4" t="str">
        <f t="shared" si="1"/>
        <v>12/21/2023</v>
      </c>
      <c r="H35" s="4" t="str">
        <f t="shared" si="2"/>
        <v>8/24/2004</v>
      </c>
      <c r="I35" s="4" t="str">
        <f t="shared" si="3"/>
        <v>Basic</v>
      </c>
      <c r="J35" s="4" t="str">
        <f t="shared" si="4"/>
        <v>Black</v>
      </c>
    </row>
    <row r="36" ht="14.25" customHeight="1">
      <c r="A36" s="1" t="s">
        <v>1851</v>
      </c>
      <c r="B36" s="1" t="s">
        <v>194</v>
      </c>
      <c r="C36" s="1" t="s">
        <v>5</v>
      </c>
      <c r="D36" s="1" t="s">
        <v>1852</v>
      </c>
      <c r="F36" s="1" t="str">
        <f>IFERROR(__xludf.DUMMYFUNCTION("""COMPUTED_VALUE"""),"725107")</f>
        <v>725107</v>
      </c>
      <c r="G36" s="4" t="str">
        <f t="shared" si="1"/>
        <v>12/13/2023</v>
      </c>
      <c r="H36" s="4" t="str">
        <f t="shared" si="2"/>
        <v>5/7/1991</v>
      </c>
      <c r="I36" s="4" t="str">
        <f t="shared" si="3"/>
        <v>Gold</v>
      </c>
      <c r="J36" s="4" t="str">
        <f t="shared" si="4"/>
        <v>Black</v>
      </c>
    </row>
    <row r="37" ht="14.25" customHeight="1">
      <c r="A37" s="1" t="s">
        <v>1851</v>
      </c>
      <c r="B37" s="1" t="s">
        <v>194</v>
      </c>
      <c r="C37" s="1" t="s">
        <v>6</v>
      </c>
      <c r="D37" s="1" t="s">
        <v>21</v>
      </c>
      <c r="F37" s="1" t="str">
        <f>IFERROR(__xludf.DUMMYFUNCTION("""COMPUTED_VALUE"""),"602470")</f>
        <v>602470</v>
      </c>
      <c r="G37" s="4" t="str">
        <f t="shared" si="1"/>
        <v>12/22/2023</v>
      </c>
      <c r="H37" s="4" t="str">
        <f t="shared" si="2"/>
        <v>7/12/2018</v>
      </c>
      <c r="I37" s="4" t="str">
        <f t="shared" si="3"/>
        <v>Gold</v>
      </c>
      <c r="J37" s="4" t="str">
        <f t="shared" si="4"/>
        <v>Black</v>
      </c>
    </row>
    <row r="38" ht="14.25" customHeight="1">
      <c r="A38" s="1" t="s">
        <v>1853</v>
      </c>
      <c r="B38" s="1" t="s">
        <v>194</v>
      </c>
      <c r="C38" s="1" t="s">
        <v>7</v>
      </c>
      <c r="D38" s="1" t="s">
        <v>19</v>
      </c>
      <c r="F38" s="1" t="str">
        <f>IFERROR(__xludf.DUMMYFUNCTION("""COMPUTED_VALUE"""),"983034")</f>
        <v>983034</v>
      </c>
      <c r="G38" s="4" t="str">
        <f t="shared" si="1"/>
        <v>12/6/2023</v>
      </c>
      <c r="H38" s="4" t="str">
        <f t="shared" si="2"/>
        <v>11/13/1972</v>
      </c>
      <c r="I38" s="4" t="str">
        <f t="shared" si="3"/>
        <v>Platinum</v>
      </c>
      <c r="J38" s="4" t="str">
        <f t="shared" si="4"/>
        <v>Asian</v>
      </c>
    </row>
    <row r="39" ht="14.25" customHeight="1">
      <c r="A39" s="1" t="s">
        <v>1853</v>
      </c>
      <c r="B39" s="1" t="s">
        <v>194</v>
      </c>
      <c r="C39" s="1" t="s">
        <v>5</v>
      </c>
      <c r="D39" s="1" t="s">
        <v>1854</v>
      </c>
      <c r="F39" s="1" t="str">
        <f>IFERROR(__xludf.DUMMYFUNCTION("""COMPUTED_VALUE"""),"521080")</f>
        <v>521080</v>
      </c>
      <c r="G39" s="4" t="str">
        <f t="shared" si="1"/>
        <v>12/27/2023</v>
      </c>
      <c r="H39" s="4" t="str">
        <f t="shared" si="2"/>
        <v>4/26/1999</v>
      </c>
      <c r="I39" s="4" t="str">
        <f t="shared" si="3"/>
        <v>Platinum</v>
      </c>
      <c r="J39" s="4" t="str">
        <f t="shared" si="4"/>
        <v>Black</v>
      </c>
    </row>
    <row r="40" ht="14.25" customHeight="1">
      <c r="A40" s="1" t="s">
        <v>1853</v>
      </c>
      <c r="B40" s="1" t="s">
        <v>194</v>
      </c>
      <c r="C40" s="1" t="s">
        <v>6</v>
      </c>
      <c r="D40" s="1" t="s">
        <v>21</v>
      </c>
      <c r="F40" s="1" t="str">
        <f>IFERROR(__xludf.DUMMYFUNCTION("""COMPUTED_VALUE"""),"618817")</f>
        <v>618817</v>
      </c>
      <c r="G40" s="4" t="str">
        <f t="shared" si="1"/>
        <v>12/30/2023</v>
      </c>
      <c r="H40" s="4" t="str">
        <f t="shared" si="2"/>
        <v>12/22/1950</v>
      </c>
      <c r="I40" s="4" t="str">
        <f t="shared" si="3"/>
        <v>Gold</v>
      </c>
      <c r="J40" s="4" t="str">
        <f t="shared" si="4"/>
        <v>Asian</v>
      </c>
    </row>
    <row r="41" ht="14.25" customHeight="1">
      <c r="A41" s="1" t="s">
        <v>1855</v>
      </c>
      <c r="B41" s="1" t="s">
        <v>203</v>
      </c>
      <c r="C41" s="1" t="s">
        <v>7</v>
      </c>
      <c r="D41" s="1" t="s">
        <v>25</v>
      </c>
      <c r="F41" s="1" t="str">
        <f>IFERROR(__xludf.DUMMYFUNCTION("""COMPUTED_VALUE"""),"203942")</f>
        <v>203942</v>
      </c>
      <c r="G41" s="4" t="str">
        <f t="shared" si="1"/>
        <v>12/28/2023</v>
      </c>
      <c r="H41" s="4" t="str">
        <f t="shared" si="2"/>
        <v>8/27/2016</v>
      </c>
      <c r="I41" s="4" t="str">
        <f t="shared" si="3"/>
        <v>Gold</v>
      </c>
      <c r="J41" s="4" t="str">
        <f t="shared" si="4"/>
        <v>Asian</v>
      </c>
    </row>
    <row r="42" ht="14.25" customHeight="1">
      <c r="A42" s="1" t="s">
        <v>1855</v>
      </c>
      <c r="B42" s="1" t="s">
        <v>203</v>
      </c>
      <c r="C42" s="1" t="s">
        <v>5</v>
      </c>
      <c r="D42" s="1" t="s">
        <v>1856</v>
      </c>
      <c r="F42" s="1" t="str">
        <f>IFERROR(__xludf.DUMMYFUNCTION("""COMPUTED_VALUE"""),"906500")</f>
        <v>906500</v>
      </c>
      <c r="G42" s="4" t="str">
        <f t="shared" si="1"/>
        <v>12/14/2023</v>
      </c>
      <c r="H42" s="4" t="str">
        <f t="shared" si="2"/>
        <v>5/31/2007</v>
      </c>
      <c r="I42" s="4" t="str">
        <f t="shared" si="3"/>
        <v>Platinum</v>
      </c>
      <c r="J42" s="4" t="str">
        <f t="shared" si="4"/>
        <v>Other</v>
      </c>
    </row>
    <row r="43" ht="14.25" customHeight="1">
      <c r="A43" s="1" t="s">
        <v>1855</v>
      </c>
      <c r="B43" s="1" t="s">
        <v>203</v>
      </c>
      <c r="C43" s="1" t="s">
        <v>6</v>
      </c>
      <c r="D43" s="1" t="s">
        <v>11</v>
      </c>
      <c r="F43" s="1" t="str">
        <f>IFERROR(__xludf.DUMMYFUNCTION("""COMPUTED_VALUE"""),"230685")</f>
        <v>230685</v>
      </c>
      <c r="G43" s="4" t="str">
        <f t="shared" si="1"/>
        <v>12/21/2023</v>
      </c>
      <c r="H43" s="4" t="str">
        <f t="shared" si="2"/>
        <v>2/17/1961</v>
      </c>
      <c r="I43" s="4" t="str">
        <f t="shared" si="3"/>
        <v>Platinum</v>
      </c>
      <c r="J43" s="4" t="str">
        <f t="shared" si="4"/>
        <v>Other</v>
      </c>
    </row>
    <row r="44" ht="14.25" customHeight="1">
      <c r="A44" s="1" t="s">
        <v>1857</v>
      </c>
      <c r="B44" s="1" t="s">
        <v>233</v>
      </c>
      <c r="C44" s="1" t="s">
        <v>7</v>
      </c>
      <c r="D44" s="1" t="s">
        <v>19</v>
      </c>
      <c r="F44" s="1" t="str">
        <f>IFERROR(__xludf.DUMMYFUNCTION("""COMPUTED_VALUE"""),"679893")</f>
        <v>679893</v>
      </c>
      <c r="G44" s="4" t="str">
        <f t="shared" si="1"/>
        <v>12/28/2023</v>
      </c>
      <c r="H44" s="4" t="str">
        <f t="shared" si="2"/>
        <v>7/2/1951</v>
      </c>
      <c r="I44" s="4" t="str">
        <f t="shared" si="3"/>
        <v>Basic</v>
      </c>
      <c r="J44" s="4" t="str">
        <f t="shared" si="4"/>
        <v>Asian</v>
      </c>
    </row>
    <row r="45" ht="14.25" customHeight="1">
      <c r="A45" s="1" t="s">
        <v>1857</v>
      </c>
      <c r="B45" s="1" t="s">
        <v>233</v>
      </c>
      <c r="C45" s="1" t="s">
        <v>5</v>
      </c>
      <c r="D45" s="1" t="s">
        <v>1858</v>
      </c>
      <c r="F45" s="1" t="str">
        <f>IFERROR(__xludf.DUMMYFUNCTION("""COMPUTED_VALUE"""),"714000")</f>
        <v>714000</v>
      </c>
      <c r="G45" s="4" t="str">
        <f t="shared" si="1"/>
        <v>12/28/2023</v>
      </c>
      <c r="H45" s="4" t="str">
        <f t="shared" si="2"/>
        <v>11/8/1999</v>
      </c>
      <c r="I45" s="4" t="str">
        <f t="shared" si="3"/>
        <v>Platinum</v>
      </c>
      <c r="J45" s="4" t="str">
        <f t="shared" si="4"/>
        <v>White</v>
      </c>
    </row>
    <row r="46" ht="14.25" customHeight="1">
      <c r="A46" s="1" t="s">
        <v>1857</v>
      </c>
      <c r="B46" s="1" t="s">
        <v>233</v>
      </c>
      <c r="C46" s="1" t="s">
        <v>6</v>
      </c>
      <c r="D46" s="1" t="s">
        <v>15</v>
      </c>
      <c r="F46" s="1" t="str">
        <f>IFERROR(__xludf.DUMMYFUNCTION("""COMPUTED_VALUE"""),"421991")</f>
        <v>421991</v>
      </c>
      <c r="G46" s="4" t="str">
        <f t="shared" si="1"/>
        <v>12/17/2023</v>
      </c>
      <c r="H46" s="4" t="str">
        <f t="shared" si="2"/>
        <v>9/9/1942</v>
      </c>
      <c r="I46" s="4" t="str">
        <f t="shared" si="3"/>
        <v>Gold</v>
      </c>
      <c r="J46" s="4" t="str">
        <f t="shared" si="4"/>
        <v>Other</v>
      </c>
    </row>
    <row r="47" ht="14.25" customHeight="1">
      <c r="A47" s="1" t="s">
        <v>1859</v>
      </c>
      <c r="B47" s="1" t="s">
        <v>264</v>
      </c>
      <c r="C47" s="1" t="s">
        <v>7</v>
      </c>
      <c r="D47" s="1" t="s">
        <v>19</v>
      </c>
      <c r="F47" s="1" t="str">
        <f>IFERROR(__xludf.DUMMYFUNCTION("""COMPUTED_VALUE"""),"548663")</f>
        <v>548663</v>
      </c>
      <c r="G47" s="4" t="str">
        <f t="shared" si="1"/>
        <v>12/4/2023</v>
      </c>
      <c r="H47" s="4" t="str">
        <f t="shared" si="2"/>
        <v>5/31/1949</v>
      </c>
      <c r="I47" s="4" t="str">
        <f t="shared" si="3"/>
        <v>Basic</v>
      </c>
      <c r="J47" s="4" t="str">
        <f t="shared" si="4"/>
        <v>Asian</v>
      </c>
    </row>
    <row r="48" ht="14.25" customHeight="1">
      <c r="A48" s="1" t="s">
        <v>1859</v>
      </c>
      <c r="B48" s="1" t="s">
        <v>264</v>
      </c>
      <c r="C48" s="1" t="s">
        <v>5</v>
      </c>
      <c r="D48" s="1" t="s">
        <v>1860</v>
      </c>
      <c r="F48" s="1" t="str">
        <f>IFERROR(__xludf.DUMMYFUNCTION("""COMPUTED_VALUE"""),"906366")</f>
        <v>906366</v>
      </c>
      <c r="G48" s="4" t="str">
        <f t="shared" si="1"/>
        <v>12/14/2023</v>
      </c>
      <c r="H48" s="4" t="str">
        <f t="shared" si="2"/>
        <v>5/15/2015</v>
      </c>
      <c r="I48" s="4" t="str">
        <f t="shared" si="3"/>
        <v>Gold</v>
      </c>
      <c r="J48" s="4" t="str">
        <f t="shared" si="4"/>
        <v>Asian</v>
      </c>
    </row>
    <row r="49" ht="14.25" customHeight="1">
      <c r="A49" s="1" t="s">
        <v>1859</v>
      </c>
      <c r="B49" s="1" t="s">
        <v>264</v>
      </c>
      <c r="C49" s="1" t="s">
        <v>6</v>
      </c>
      <c r="D49" s="1" t="s">
        <v>11</v>
      </c>
      <c r="F49" s="1" t="str">
        <f>IFERROR(__xludf.DUMMYFUNCTION("""COMPUTED_VALUE"""),"140408")</f>
        <v>140408</v>
      </c>
      <c r="G49" s="4" t="str">
        <f t="shared" si="1"/>
        <v>12/23/2023</v>
      </c>
      <c r="H49" s="4" t="str">
        <f t="shared" si="2"/>
        <v>3/17/1955</v>
      </c>
      <c r="I49" s="4" t="str">
        <f t="shared" si="3"/>
        <v>Gold</v>
      </c>
      <c r="J49" s="4" t="str">
        <f t="shared" si="4"/>
        <v>Black</v>
      </c>
    </row>
    <row r="50" ht="14.25" customHeight="1">
      <c r="A50" s="1" t="s">
        <v>1861</v>
      </c>
      <c r="B50" s="1" t="s">
        <v>317</v>
      </c>
      <c r="C50" s="1" t="s">
        <v>7</v>
      </c>
      <c r="D50" s="1" t="s">
        <v>25</v>
      </c>
      <c r="F50" s="1" t="str">
        <f>IFERROR(__xludf.DUMMYFUNCTION("""COMPUTED_VALUE"""),"759970")</f>
        <v>759970</v>
      </c>
      <c r="G50" s="4" t="str">
        <f t="shared" si="1"/>
        <v>12/8/2023</v>
      </c>
      <c r="H50" s="4" t="str">
        <f t="shared" si="2"/>
        <v>8/22/1969</v>
      </c>
      <c r="I50" s="4" t="str">
        <f t="shared" si="3"/>
        <v>Gold</v>
      </c>
      <c r="J50" s="4" t="str">
        <f t="shared" si="4"/>
        <v>White</v>
      </c>
    </row>
    <row r="51" ht="14.25" customHeight="1">
      <c r="A51" s="1" t="s">
        <v>1861</v>
      </c>
      <c r="B51" s="1" t="s">
        <v>317</v>
      </c>
      <c r="C51" s="1" t="s">
        <v>5</v>
      </c>
      <c r="D51" s="1" t="s">
        <v>1862</v>
      </c>
      <c r="F51" s="1" t="str">
        <f>IFERROR(__xludf.DUMMYFUNCTION("""COMPUTED_VALUE"""),"663205")</f>
        <v>663205</v>
      </c>
      <c r="G51" s="4" t="str">
        <f t="shared" si="1"/>
        <v>12/8/2023</v>
      </c>
      <c r="H51" s="4" t="str">
        <f t="shared" si="2"/>
        <v>3/30/1981</v>
      </c>
      <c r="I51" s="4" t="str">
        <f t="shared" si="3"/>
        <v>Platinum</v>
      </c>
      <c r="J51" s="4" t="str">
        <f t="shared" si="4"/>
        <v>Black</v>
      </c>
    </row>
    <row r="52" ht="14.25" customHeight="1">
      <c r="A52" s="1" t="s">
        <v>1861</v>
      </c>
      <c r="B52" s="1" t="s">
        <v>317</v>
      </c>
      <c r="C52" s="1" t="s">
        <v>6</v>
      </c>
      <c r="D52" s="1" t="s">
        <v>15</v>
      </c>
      <c r="F52" s="1" t="str">
        <f>IFERROR(__xludf.DUMMYFUNCTION("""COMPUTED_VALUE"""),"441581")</f>
        <v>441581</v>
      </c>
      <c r="G52" s="4" t="str">
        <f t="shared" si="1"/>
        <v>12/1/2023</v>
      </c>
      <c r="H52" s="4" t="str">
        <f t="shared" si="2"/>
        <v>7/6/2018</v>
      </c>
      <c r="I52" s="4" t="str">
        <f t="shared" si="3"/>
        <v>Gold</v>
      </c>
      <c r="J52" s="4" t="str">
        <f t="shared" si="4"/>
        <v>White</v>
      </c>
    </row>
    <row r="53" ht="14.25" customHeight="1">
      <c r="A53" s="1" t="s">
        <v>1863</v>
      </c>
      <c r="B53" s="1" t="s">
        <v>381</v>
      </c>
      <c r="C53" s="1" t="s">
        <v>7</v>
      </c>
      <c r="D53" s="1" t="s">
        <v>9</v>
      </c>
      <c r="F53" s="1" t="str">
        <f>IFERROR(__xludf.DUMMYFUNCTION("""COMPUTED_VALUE"""),"968967")</f>
        <v>968967</v>
      </c>
      <c r="G53" s="4" t="str">
        <f t="shared" si="1"/>
        <v>12/7/2023</v>
      </c>
      <c r="H53" s="4" t="str">
        <f t="shared" si="2"/>
        <v>12/24/1992</v>
      </c>
      <c r="I53" s="4" t="str">
        <f t="shared" si="3"/>
        <v>Gold</v>
      </c>
      <c r="J53" s="4" t="str">
        <f t="shared" si="4"/>
        <v>Asian</v>
      </c>
    </row>
    <row r="54" ht="14.25" customHeight="1">
      <c r="A54" s="1" t="s">
        <v>1863</v>
      </c>
      <c r="B54" s="1" t="s">
        <v>381</v>
      </c>
      <c r="C54" s="1" t="s">
        <v>5</v>
      </c>
      <c r="D54" s="1" t="s">
        <v>1864</v>
      </c>
      <c r="F54" s="1" t="str">
        <f>IFERROR(__xludf.DUMMYFUNCTION("""COMPUTED_VALUE"""),"226854")</f>
        <v>226854</v>
      </c>
      <c r="G54" s="4" t="str">
        <f t="shared" si="1"/>
        <v>12/7/2023</v>
      </c>
      <c r="H54" s="4" t="str">
        <f t="shared" si="2"/>
        <v>8/3/1988</v>
      </c>
      <c r="I54" s="4" t="str">
        <f t="shared" si="3"/>
        <v>Gold</v>
      </c>
      <c r="J54" s="4" t="str">
        <f t="shared" si="4"/>
        <v>White</v>
      </c>
    </row>
    <row r="55" ht="14.25" customHeight="1">
      <c r="A55" s="1" t="s">
        <v>1863</v>
      </c>
      <c r="B55" s="1" t="s">
        <v>381</v>
      </c>
      <c r="C55" s="1" t="s">
        <v>6</v>
      </c>
      <c r="D55" s="1" t="s">
        <v>15</v>
      </c>
      <c r="F55" s="1" t="str">
        <f>IFERROR(__xludf.DUMMYFUNCTION("""COMPUTED_VALUE"""),"314848")</f>
        <v>314848</v>
      </c>
      <c r="G55" s="4" t="str">
        <f t="shared" si="1"/>
        <v>12/14/2023</v>
      </c>
      <c r="H55" s="4" t="str">
        <f t="shared" si="2"/>
        <v>11/30/2015</v>
      </c>
      <c r="I55" s="4" t="str">
        <f t="shared" si="3"/>
        <v>Gold</v>
      </c>
      <c r="J55" s="4" t="str">
        <f t="shared" si="4"/>
        <v>Asian</v>
      </c>
    </row>
    <row r="56" ht="14.25" customHeight="1">
      <c r="A56" s="1" t="s">
        <v>1865</v>
      </c>
      <c r="B56" s="1" t="s">
        <v>246</v>
      </c>
      <c r="C56" s="1" t="s">
        <v>7</v>
      </c>
      <c r="D56" s="1" t="s">
        <v>25</v>
      </c>
      <c r="F56" s="1" t="str">
        <f>IFERROR(__xludf.DUMMYFUNCTION("""COMPUTED_VALUE"""),"471152")</f>
        <v>471152</v>
      </c>
      <c r="G56" s="4" t="str">
        <f t="shared" si="1"/>
        <v>12/15/2023</v>
      </c>
      <c r="H56" s="4" t="str">
        <f t="shared" si="2"/>
        <v>9/29/1990</v>
      </c>
      <c r="I56" s="4" t="str">
        <f t="shared" si="3"/>
        <v>Platinum</v>
      </c>
      <c r="J56" s="4" t="str">
        <f t="shared" si="4"/>
        <v>Asian</v>
      </c>
    </row>
    <row r="57" ht="14.25" customHeight="1">
      <c r="A57" s="1" t="s">
        <v>1865</v>
      </c>
      <c r="B57" s="1" t="s">
        <v>246</v>
      </c>
      <c r="C57" s="1" t="s">
        <v>5</v>
      </c>
      <c r="D57" s="1" t="s">
        <v>1866</v>
      </c>
      <c r="F57" s="1" t="str">
        <f>IFERROR(__xludf.DUMMYFUNCTION("""COMPUTED_VALUE"""),"868193")</f>
        <v>868193</v>
      </c>
      <c r="G57" s="4" t="str">
        <f t="shared" si="1"/>
        <v>12/14/2023</v>
      </c>
      <c r="H57" s="4" t="str">
        <f t="shared" si="2"/>
        <v>9/11/1948</v>
      </c>
      <c r="I57" s="4" t="str">
        <f t="shared" si="3"/>
        <v>Basic</v>
      </c>
      <c r="J57" s="4" t="str">
        <f t="shared" si="4"/>
        <v>White</v>
      </c>
    </row>
    <row r="58" ht="14.25" customHeight="1">
      <c r="A58" s="1" t="s">
        <v>1865</v>
      </c>
      <c r="B58" s="1" t="s">
        <v>246</v>
      </c>
      <c r="C58" s="1" t="s">
        <v>6</v>
      </c>
      <c r="D58" s="1" t="s">
        <v>11</v>
      </c>
      <c r="F58" s="1" t="str">
        <f>IFERROR(__xludf.DUMMYFUNCTION("""COMPUTED_VALUE"""),"853101")</f>
        <v>853101</v>
      </c>
      <c r="G58" s="4" t="str">
        <f t="shared" si="1"/>
        <v>12/8/2023</v>
      </c>
      <c r="H58" s="4" t="str">
        <f t="shared" si="2"/>
        <v>4/13/1984</v>
      </c>
      <c r="I58" s="4" t="str">
        <f t="shared" si="3"/>
        <v>Basic</v>
      </c>
      <c r="J58" s="4" t="str">
        <f t="shared" si="4"/>
        <v>Other</v>
      </c>
    </row>
    <row r="59" ht="14.25" customHeight="1">
      <c r="A59" s="1" t="s">
        <v>1867</v>
      </c>
      <c r="B59" s="1" t="s">
        <v>249</v>
      </c>
      <c r="C59" s="1" t="s">
        <v>7</v>
      </c>
      <c r="D59" s="1" t="s">
        <v>13</v>
      </c>
      <c r="F59" s="1" t="str">
        <f>IFERROR(__xludf.DUMMYFUNCTION("""COMPUTED_VALUE"""),"649104")</f>
        <v>649104</v>
      </c>
      <c r="G59" s="4" t="str">
        <f t="shared" si="1"/>
        <v>12/17/2023</v>
      </c>
      <c r="H59" s="4" t="str">
        <f t="shared" si="2"/>
        <v>3/5/1946</v>
      </c>
      <c r="I59" s="4" t="str">
        <f t="shared" si="3"/>
        <v>Platinum</v>
      </c>
      <c r="J59" s="4" t="str">
        <f t="shared" si="4"/>
        <v>Other</v>
      </c>
    </row>
    <row r="60" ht="14.25" customHeight="1">
      <c r="A60" s="1" t="s">
        <v>1867</v>
      </c>
      <c r="B60" s="1" t="s">
        <v>249</v>
      </c>
      <c r="C60" s="1" t="s">
        <v>5</v>
      </c>
      <c r="D60" s="1" t="s">
        <v>1868</v>
      </c>
      <c r="F60" s="1" t="str">
        <f>IFERROR(__xludf.DUMMYFUNCTION("""COMPUTED_VALUE"""),"376499")</f>
        <v>376499</v>
      </c>
      <c r="G60" s="4" t="str">
        <f t="shared" si="1"/>
        <v>12/6/2023</v>
      </c>
      <c r="H60" s="4" t="str">
        <f t="shared" si="2"/>
        <v>1/27/1969</v>
      </c>
      <c r="I60" s="4" t="str">
        <f t="shared" si="3"/>
        <v>Platinum</v>
      </c>
      <c r="J60" s="4" t="str">
        <f t="shared" si="4"/>
        <v>Asian</v>
      </c>
    </row>
    <row r="61" ht="14.25" customHeight="1">
      <c r="A61" s="1" t="s">
        <v>1867</v>
      </c>
      <c r="B61" s="1" t="s">
        <v>249</v>
      </c>
      <c r="C61" s="1" t="s">
        <v>6</v>
      </c>
      <c r="D61" s="1" t="s">
        <v>15</v>
      </c>
      <c r="F61" s="1" t="str">
        <f>IFERROR(__xludf.DUMMYFUNCTION("""COMPUTED_VALUE"""),"657908")</f>
        <v>657908</v>
      </c>
      <c r="G61" s="4" t="str">
        <f t="shared" si="1"/>
        <v>12/19/2023</v>
      </c>
      <c r="H61" s="4" t="str">
        <f t="shared" si="2"/>
        <v>8/21/1973</v>
      </c>
      <c r="I61" s="4" t="str">
        <f t="shared" si="3"/>
        <v>Platinum</v>
      </c>
      <c r="J61" s="4" t="str">
        <f t="shared" si="4"/>
        <v>Asian</v>
      </c>
    </row>
    <row r="62" ht="14.25" customHeight="1">
      <c r="A62" s="1" t="s">
        <v>1869</v>
      </c>
      <c r="B62" s="1" t="s">
        <v>398</v>
      </c>
      <c r="C62" s="1" t="s">
        <v>7</v>
      </c>
      <c r="D62" s="1" t="s">
        <v>19</v>
      </c>
      <c r="F62" s="1" t="str">
        <f>IFERROR(__xludf.DUMMYFUNCTION("""COMPUTED_VALUE"""),"855858")</f>
        <v>855858</v>
      </c>
      <c r="G62" s="4" t="str">
        <f t="shared" si="1"/>
        <v>12/15/2023</v>
      </c>
      <c r="H62" s="4" t="str">
        <f t="shared" si="2"/>
        <v>11/20/1959</v>
      </c>
      <c r="I62" s="4" t="str">
        <f t="shared" si="3"/>
        <v>Platinum</v>
      </c>
      <c r="J62" s="4" t="str">
        <f t="shared" si="4"/>
        <v>White</v>
      </c>
    </row>
    <row r="63" ht="14.25" customHeight="1">
      <c r="A63" s="1" t="s">
        <v>1869</v>
      </c>
      <c r="B63" s="1" t="s">
        <v>398</v>
      </c>
      <c r="C63" s="1" t="s">
        <v>5</v>
      </c>
      <c r="D63" s="1" t="s">
        <v>1870</v>
      </c>
      <c r="F63" s="1" t="str">
        <f>IFERROR(__xludf.DUMMYFUNCTION("""COMPUTED_VALUE"""),"128635")</f>
        <v>128635</v>
      </c>
      <c r="G63" s="4" t="str">
        <f t="shared" si="1"/>
        <v>12/12/2023</v>
      </c>
      <c r="H63" s="4" t="str">
        <f t="shared" si="2"/>
        <v>6/16/2012</v>
      </c>
      <c r="I63" s="4" t="str">
        <f t="shared" si="3"/>
        <v>Basic</v>
      </c>
      <c r="J63" s="4" t="str">
        <f t="shared" si="4"/>
        <v>Asian</v>
      </c>
    </row>
    <row r="64" ht="14.25" customHeight="1">
      <c r="A64" s="1" t="s">
        <v>1869</v>
      </c>
      <c r="B64" s="1" t="s">
        <v>398</v>
      </c>
      <c r="C64" s="1" t="s">
        <v>6</v>
      </c>
      <c r="D64" s="1" t="s">
        <v>15</v>
      </c>
      <c r="F64" s="1" t="str">
        <f>IFERROR(__xludf.DUMMYFUNCTION("""COMPUTED_VALUE"""),"864964")</f>
        <v>864964</v>
      </c>
      <c r="G64" s="4" t="str">
        <f t="shared" si="1"/>
        <v>12/16/2023</v>
      </c>
      <c r="H64" s="4" t="str">
        <f t="shared" si="2"/>
        <v>1/8/1973</v>
      </c>
      <c r="I64" s="4" t="str">
        <f t="shared" si="3"/>
        <v>Platinum</v>
      </c>
      <c r="J64" s="4" t="str">
        <f t="shared" si="4"/>
        <v>Black</v>
      </c>
    </row>
    <row r="65" ht="14.25" customHeight="1">
      <c r="A65" s="1" t="s">
        <v>1871</v>
      </c>
      <c r="B65" s="1" t="s">
        <v>191</v>
      </c>
      <c r="C65" s="1" t="s">
        <v>7</v>
      </c>
      <c r="D65" s="1" t="s">
        <v>13</v>
      </c>
      <c r="F65" s="1" t="str">
        <f>IFERROR(__xludf.DUMMYFUNCTION("""COMPUTED_VALUE"""),"704688")</f>
        <v>704688</v>
      </c>
      <c r="G65" s="4" t="str">
        <f t="shared" si="1"/>
        <v>12/28/2023</v>
      </c>
      <c r="H65" s="4" t="str">
        <f t="shared" si="2"/>
        <v>1/2/2017</v>
      </c>
      <c r="I65" s="4" t="str">
        <f t="shared" si="3"/>
        <v>Basic</v>
      </c>
      <c r="J65" s="4" t="str">
        <f t="shared" si="4"/>
        <v>Other</v>
      </c>
    </row>
    <row r="66" ht="14.25" customHeight="1">
      <c r="A66" s="1" t="s">
        <v>1871</v>
      </c>
      <c r="B66" s="1" t="s">
        <v>191</v>
      </c>
      <c r="C66" s="1" t="s">
        <v>5</v>
      </c>
      <c r="D66" s="1" t="s">
        <v>1872</v>
      </c>
      <c r="F66" s="1" t="str">
        <f>IFERROR(__xludf.DUMMYFUNCTION("""COMPUTED_VALUE"""),"130835")</f>
        <v>130835</v>
      </c>
      <c r="G66" s="4" t="str">
        <f t="shared" si="1"/>
        <v>12/4/2023</v>
      </c>
      <c r="H66" s="4" t="str">
        <f t="shared" si="2"/>
        <v>6/7/1984</v>
      </c>
      <c r="I66" s="4" t="str">
        <f t="shared" si="3"/>
        <v>Basic</v>
      </c>
      <c r="J66" s="4" t="str">
        <f t="shared" si="4"/>
        <v>White</v>
      </c>
    </row>
    <row r="67" ht="14.25" customHeight="1">
      <c r="A67" s="1" t="s">
        <v>1871</v>
      </c>
      <c r="B67" s="1" t="s">
        <v>191</v>
      </c>
      <c r="C67" s="1" t="s">
        <v>6</v>
      </c>
      <c r="D67" s="1" t="s">
        <v>21</v>
      </c>
      <c r="F67" s="1" t="str">
        <f>IFERROR(__xludf.DUMMYFUNCTION("""COMPUTED_VALUE"""),"135215")</f>
        <v>135215</v>
      </c>
      <c r="G67" s="4" t="str">
        <f t="shared" si="1"/>
        <v>12/23/2023</v>
      </c>
      <c r="H67" s="4" t="str">
        <f t="shared" si="2"/>
        <v>2/18/1955</v>
      </c>
      <c r="I67" s="4" t="str">
        <f t="shared" si="3"/>
        <v>Platinum</v>
      </c>
      <c r="J67" s="4" t="str">
        <f t="shared" si="4"/>
        <v>Other</v>
      </c>
    </row>
    <row r="68" ht="14.25" customHeight="1">
      <c r="A68" s="1" t="s">
        <v>1873</v>
      </c>
      <c r="B68" s="1" t="s">
        <v>203</v>
      </c>
      <c r="C68" s="1" t="s">
        <v>7</v>
      </c>
      <c r="D68" s="1" t="s">
        <v>13</v>
      </c>
      <c r="F68" s="1" t="str">
        <f>IFERROR(__xludf.DUMMYFUNCTION("""COMPUTED_VALUE"""),"537959")</f>
        <v>537959</v>
      </c>
      <c r="G68" s="4" t="str">
        <f t="shared" si="1"/>
        <v>12/12/2023</v>
      </c>
      <c r="H68" s="4" t="str">
        <f t="shared" si="2"/>
        <v>10/23/2017</v>
      </c>
      <c r="I68" s="4" t="str">
        <f t="shared" si="3"/>
        <v>Gold</v>
      </c>
      <c r="J68" s="4" t="str">
        <f t="shared" si="4"/>
        <v>Black</v>
      </c>
    </row>
    <row r="69" ht="14.25" customHeight="1">
      <c r="A69" s="1" t="s">
        <v>1873</v>
      </c>
      <c r="B69" s="1" t="s">
        <v>203</v>
      </c>
      <c r="C69" s="1" t="s">
        <v>5</v>
      </c>
      <c r="D69" s="1" t="s">
        <v>1874</v>
      </c>
      <c r="F69" s="1" t="str">
        <f>IFERROR(__xludf.DUMMYFUNCTION("""COMPUTED_VALUE"""),"461508")</f>
        <v>461508</v>
      </c>
      <c r="G69" s="4" t="str">
        <f t="shared" si="1"/>
        <v>12/2/2023</v>
      </c>
      <c r="H69" s="4" t="str">
        <f t="shared" si="2"/>
        <v>7/12/1996</v>
      </c>
      <c r="I69" s="4" t="str">
        <f t="shared" si="3"/>
        <v>Gold</v>
      </c>
      <c r="J69" s="4" t="str">
        <f t="shared" si="4"/>
        <v>Other</v>
      </c>
    </row>
    <row r="70" ht="14.25" customHeight="1">
      <c r="A70" s="1" t="s">
        <v>1873</v>
      </c>
      <c r="B70" s="1" t="s">
        <v>203</v>
      </c>
      <c r="C70" s="1" t="s">
        <v>6</v>
      </c>
      <c r="D70" s="1" t="s">
        <v>21</v>
      </c>
      <c r="F70" s="1" t="str">
        <f>IFERROR(__xludf.DUMMYFUNCTION("""COMPUTED_VALUE"""),"765987")</f>
        <v>765987</v>
      </c>
      <c r="G70" s="4" t="str">
        <f t="shared" si="1"/>
        <v>12/22/2023</v>
      </c>
      <c r="H70" s="4" t="str">
        <f t="shared" si="2"/>
        <v>6/25/1989</v>
      </c>
      <c r="I70" s="4" t="str">
        <f t="shared" si="3"/>
        <v>Platinum</v>
      </c>
      <c r="J70" s="4" t="str">
        <f t="shared" si="4"/>
        <v>Black</v>
      </c>
    </row>
    <row r="71" ht="14.25" customHeight="1">
      <c r="A71" s="1" t="s">
        <v>1875</v>
      </c>
      <c r="B71" s="1" t="s">
        <v>197</v>
      </c>
      <c r="C71" s="1" t="s">
        <v>7</v>
      </c>
      <c r="D71" s="1" t="s">
        <v>9</v>
      </c>
      <c r="F71" s="1" t="str">
        <f>IFERROR(__xludf.DUMMYFUNCTION("""COMPUTED_VALUE"""),"607350")</f>
        <v>607350</v>
      </c>
      <c r="G71" s="4" t="str">
        <f t="shared" si="1"/>
        <v>12/22/2023</v>
      </c>
      <c r="H71" s="4" t="str">
        <f t="shared" si="2"/>
        <v>5/12/1972</v>
      </c>
      <c r="I71" s="4" t="str">
        <f t="shared" si="3"/>
        <v>Gold</v>
      </c>
      <c r="J71" s="4" t="str">
        <f t="shared" si="4"/>
        <v>Other</v>
      </c>
    </row>
    <row r="72" ht="14.25" customHeight="1">
      <c r="A72" s="1" t="s">
        <v>1875</v>
      </c>
      <c r="B72" s="1" t="s">
        <v>197</v>
      </c>
      <c r="C72" s="1" t="s">
        <v>5</v>
      </c>
      <c r="D72" s="1" t="s">
        <v>1876</v>
      </c>
      <c r="F72" s="1" t="str">
        <f>IFERROR(__xludf.DUMMYFUNCTION("""COMPUTED_VALUE"""),"594256")</f>
        <v>594256</v>
      </c>
      <c r="G72" s="4" t="str">
        <f t="shared" si="1"/>
        <v>12/25/2023</v>
      </c>
      <c r="H72" s="4" t="str">
        <f t="shared" si="2"/>
        <v>3/6/1989</v>
      </c>
      <c r="I72" s="4" t="str">
        <f t="shared" si="3"/>
        <v>Gold</v>
      </c>
      <c r="J72" s="4" t="str">
        <f t="shared" si="4"/>
        <v>Other</v>
      </c>
    </row>
    <row r="73" ht="14.25" customHeight="1">
      <c r="A73" s="1" t="s">
        <v>1875</v>
      </c>
      <c r="B73" s="1" t="s">
        <v>197</v>
      </c>
      <c r="C73" s="1" t="s">
        <v>6</v>
      </c>
      <c r="D73" s="1" t="s">
        <v>21</v>
      </c>
      <c r="F73" s="1" t="str">
        <f>IFERROR(__xludf.DUMMYFUNCTION("""COMPUTED_VALUE"""),"554998")</f>
        <v>554998</v>
      </c>
      <c r="G73" s="4" t="str">
        <f t="shared" si="1"/>
        <v>12/16/2023</v>
      </c>
      <c r="H73" s="4" t="str">
        <f t="shared" si="2"/>
        <v>11/6/1997</v>
      </c>
      <c r="I73" s="4" t="str">
        <f t="shared" si="3"/>
        <v>Platinum</v>
      </c>
      <c r="J73" s="4" t="str">
        <f t="shared" si="4"/>
        <v>Black</v>
      </c>
    </row>
    <row r="74" ht="14.25" customHeight="1">
      <c r="A74" s="1" t="s">
        <v>1877</v>
      </c>
      <c r="B74" s="1" t="s">
        <v>246</v>
      </c>
      <c r="C74" s="1" t="s">
        <v>7</v>
      </c>
      <c r="D74" s="1" t="s">
        <v>9</v>
      </c>
      <c r="F74" s="1" t="str">
        <f>IFERROR(__xludf.DUMMYFUNCTION("""COMPUTED_VALUE"""),"305736")</f>
        <v>305736</v>
      </c>
      <c r="G74" s="4" t="str">
        <f t="shared" si="1"/>
        <v>12/16/2023</v>
      </c>
      <c r="H74" s="4" t="str">
        <f t="shared" si="2"/>
        <v>8/15/1978</v>
      </c>
      <c r="I74" s="4" t="str">
        <f t="shared" si="3"/>
        <v>Basic</v>
      </c>
      <c r="J74" s="4" t="str">
        <f t="shared" si="4"/>
        <v>Asian</v>
      </c>
    </row>
    <row r="75" ht="14.25" customHeight="1">
      <c r="A75" s="1" t="s">
        <v>1877</v>
      </c>
      <c r="B75" s="1" t="s">
        <v>246</v>
      </c>
      <c r="C75" s="1" t="s">
        <v>5</v>
      </c>
      <c r="D75" s="1" t="s">
        <v>1878</v>
      </c>
      <c r="F75" s="1" t="str">
        <f>IFERROR(__xludf.DUMMYFUNCTION("""COMPUTED_VALUE"""),"237507")</f>
        <v>237507</v>
      </c>
      <c r="G75" s="4" t="str">
        <f t="shared" si="1"/>
        <v>12/2/2023</v>
      </c>
      <c r="H75" s="4" t="str">
        <f t="shared" si="2"/>
        <v>4/6/1944</v>
      </c>
      <c r="I75" s="4" t="str">
        <f t="shared" si="3"/>
        <v>Basic</v>
      </c>
      <c r="J75" s="4" t="str">
        <f t="shared" si="4"/>
        <v>Black</v>
      </c>
    </row>
    <row r="76" ht="14.25" customHeight="1">
      <c r="A76" s="1" t="s">
        <v>1877</v>
      </c>
      <c r="B76" s="1" t="s">
        <v>246</v>
      </c>
      <c r="C76" s="1" t="s">
        <v>6</v>
      </c>
      <c r="D76" s="1" t="s">
        <v>21</v>
      </c>
      <c r="F76" s="1" t="str">
        <f>IFERROR(__xludf.DUMMYFUNCTION("""COMPUTED_VALUE"""),"187833")</f>
        <v>187833</v>
      </c>
      <c r="G76" s="4" t="str">
        <f t="shared" si="1"/>
        <v>12/20/2023</v>
      </c>
      <c r="H76" s="4" t="str">
        <f t="shared" si="2"/>
        <v>4/8/1992</v>
      </c>
      <c r="I76" s="4" t="str">
        <f t="shared" si="3"/>
        <v>Basic</v>
      </c>
      <c r="J76" s="4" t="str">
        <f t="shared" si="4"/>
        <v>Other</v>
      </c>
    </row>
    <row r="77" ht="14.25" customHeight="1">
      <c r="A77" s="1" t="s">
        <v>1879</v>
      </c>
      <c r="B77" s="1" t="s">
        <v>191</v>
      </c>
      <c r="C77" s="1" t="s">
        <v>7</v>
      </c>
      <c r="D77" s="1" t="s">
        <v>9</v>
      </c>
      <c r="F77" s="1" t="str">
        <f>IFERROR(__xludf.DUMMYFUNCTION("""COMPUTED_VALUE"""),"694973")</f>
        <v>694973</v>
      </c>
      <c r="G77" s="4" t="str">
        <f t="shared" si="1"/>
        <v>12/21/2023</v>
      </c>
      <c r="H77" s="4" t="str">
        <f t="shared" si="2"/>
        <v>10/24/2017</v>
      </c>
      <c r="I77" s="4" t="str">
        <f t="shared" si="3"/>
        <v>Platinum</v>
      </c>
      <c r="J77" s="4" t="str">
        <f t="shared" si="4"/>
        <v>Other</v>
      </c>
    </row>
    <row r="78" ht="14.25" customHeight="1">
      <c r="A78" s="1" t="s">
        <v>1879</v>
      </c>
      <c r="B78" s="1" t="s">
        <v>191</v>
      </c>
      <c r="C78" s="1" t="s">
        <v>5</v>
      </c>
      <c r="D78" s="1" t="s">
        <v>1880</v>
      </c>
      <c r="F78" s="1" t="str">
        <f>IFERROR(__xludf.DUMMYFUNCTION("""COMPUTED_VALUE"""),"334199")</f>
        <v>334199</v>
      </c>
      <c r="G78" s="4" t="str">
        <f t="shared" si="1"/>
        <v>12/5/2023</v>
      </c>
      <c r="H78" s="4" t="str">
        <f t="shared" si="2"/>
        <v>5/11/2003</v>
      </c>
      <c r="I78" s="4" t="str">
        <f t="shared" si="3"/>
        <v>Gold</v>
      </c>
      <c r="J78" s="4" t="str">
        <f t="shared" si="4"/>
        <v>White</v>
      </c>
    </row>
    <row r="79" ht="14.25" customHeight="1">
      <c r="A79" s="1" t="s">
        <v>1879</v>
      </c>
      <c r="B79" s="1" t="s">
        <v>191</v>
      </c>
      <c r="C79" s="1" t="s">
        <v>6</v>
      </c>
      <c r="D79" s="1" t="s">
        <v>15</v>
      </c>
      <c r="F79" s="1" t="str">
        <f>IFERROR(__xludf.DUMMYFUNCTION("""COMPUTED_VALUE"""),"801415")</f>
        <v>801415</v>
      </c>
      <c r="G79" s="4" t="str">
        <f t="shared" si="1"/>
        <v>12/2/2023</v>
      </c>
      <c r="H79" s="4" t="str">
        <f t="shared" si="2"/>
        <v>7/7/2010</v>
      </c>
      <c r="I79" s="4" t="str">
        <f t="shared" si="3"/>
        <v>Gold</v>
      </c>
      <c r="J79" s="4" t="str">
        <f t="shared" si="4"/>
        <v>Asian</v>
      </c>
    </row>
    <row r="80" ht="14.25" customHeight="1">
      <c r="A80" s="1" t="s">
        <v>1881</v>
      </c>
      <c r="B80" s="1" t="s">
        <v>203</v>
      </c>
      <c r="C80" s="1" t="s">
        <v>7</v>
      </c>
      <c r="D80" s="1" t="s">
        <v>9</v>
      </c>
      <c r="F80" s="1" t="str">
        <f>IFERROR(__xludf.DUMMYFUNCTION("""COMPUTED_VALUE"""),"560261")</f>
        <v>560261</v>
      </c>
      <c r="G80" s="4" t="str">
        <f t="shared" si="1"/>
        <v>12/15/2023</v>
      </c>
      <c r="H80" s="4" t="str">
        <f t="shared" si="2"/>
        <v>3/4/1949</v>
      </c>
      <c r="I80" s="4" t="str">
        <f t="shared" si="3"/>
        <v>Platinum</v>
      </c>
      <c r="J80" s="4" t="str">
        <f t="shared" si="4"/>
        <v>Black</v>
      </c>
    </row>
    <row r="81" ht="14.25" customHeight="1">
      <c r="A81" s="1" t="s">
        <v>1881</v>
      </c>
      <c r="B81" s="1" t="s">
        <v>203</v>
      </c>
      <c r="C81" s="1" t="s">
        <v>5</v>
      </c>
      <c r="D81" s="1" t="s">
        <v>1882</v>
      </c>
      <c r="F81" s="1" t="str">
        <f>IFERROR(__xludf.DUMMYFUNCTION("""COMPUTED_VALUE"""),"947772")</f>
        <v>947772</v>
      </c>
      <c r="G81" s="4" t="str">
        <f t="shared" si="1"/>
        <v>12/27/2023</v>
      </c>
      <c r="H81" s="4" t="str">
        <f t="shared" si="2"/>
        <v>9/14/1964</v>
      </c>
      <c r="I81" s="4" t="str">
        <f t="shared" si="3"/>
        <v>Gold</v>
      </c>
      <c r="J81" s="4" t="str">
        <f t="shared" si="4"/>
        <v>Asian</v>
      </c>
    </row>
    <row r="82" ht="14.25" customHeight="1">
      <c r="A82" s="1" t="s">
        <v>1881</v>
      </c>
      <c r="B82" s="1" t="s">
        <v>203</v>
      </c>
      <c r="C82" s="1" t="s">
        <v>6</v>
      </c>
      <c r="D82" s="1" t="s">
        <v>21</v>
      </c>
      <c r="F82" s="1" t="str">
        <f>IFERROR(__xludf.DUMMYFUNCTION("""COMPUTED_VALUE"""),"923843")</f>
        <v>923843</v>
      </c>
      <c r="G82" s="4" t="str">
        <f t="shared" si="1"/>
        <v>12/24/2023</v>
      </c>
      <c r="H82" s="4" t="str">
        <f t="shared" si="2"/>
        <v>12/11/2015</v>
      </c>
      <c r="I82" s="4" t="str">
        <f t="shared" si="3"/>
        <v>Gold</v>
      </c>
      <c r="J82" s="4" t="str">
        <f t="shared" si="4"/>
        <v>White</v>
      </c>
    </row>
    <row r="83" ht="14.25" customHeight="1">
      <c r="A83" s="1" t="s">
        <v>1883</v>
      </c>
      <c r="B83" s="1" t="s">
        <v>211</v>
      </c>
      <c r="C83" s="1" t="s">
        <v>7</v>
      </c>
      <c r="D83" s="1" t="s">
        <v>9</v>
      </c>
      <c r="F83" s="1" t="str">
        <f>IFERROR(__xludf.DUMMYFUNCTION("""COMPUTED_VALUE"""),"480246")</f>
        <v>480246</v>
      </c>
      <c r="G83" s="4" t="str">
        <f t="shared" si="1"/>
        <v>12/8/2023</v>
      </c>
      <c r="H83" s="4" t="str">
        <f t="shared" si="2"/>
        <v>4/13/1982</v>
      </c>
      <c r="I83" s="4" t="str">
        <f t="shared" si="3"/>
        <v>Platinum</v>
      </c>
      <c r="J83" s="4" t="str">
        <f t="shared" si="4"/>
        <v>Asian</v>
      </c>
    </row>
    <row r="84" ht="14.25" customHeight="1">
      <c r="A84" s="1" t="s">
        <v>1883</v>
      </c>
      <c r="B84" s="1" t="s">
        <v>211</v>
      </c>
      <c r="C84" s="1" t="s">
        <v>5</v>
      </c>
      <c r="D84" s="1" t="s">
        <v>1884</v>
      </c>
      <c r="F84" s="1" t="str">
        <f>IFERROR(__xludf.DUMMYFUNCTION("""COMPUTED_VALUE"""),"716900")</f>
        <v>716900</v>
      </c>
      <c r="G84" s="4" t="str">
        <f t="shared" si="1"/>
        <v>12/18/2023</v>
      </c>
      <c r="H84" s="4" t="str">
        <f t="shared" si="2"/>
        <v>9/30/2003</v>
      </c>
      <c r="I84" s="4" t="str">
        <f t="shared" si="3"/>
        <v>Gold</v>
      </c>
      <c r="J84" s="4" t="str">
        <f t="shared" si="4"/>
        <v>Asian</v>
      </c>
    </row>
    <row r="85" ht="14.25" customHeight="1">
      <c r="A85" s="1" t="s">
        <v>1883</v>
      </c>
      <c r="B85" s="1" t="s">
        <v>211</v>
      </c>
      <c r="C85" s="1" t="s">
        <v>6</v>
      </c>
      <c r="D85" s="1" t="s">
        <v>11</v>
      </c>
      <c r="F85" s="1" t="str">
        <f>IFERROR(__xludf.DUMMYFUNCTION("""COMPUTED_VALUE"""),"592566")</f>
        <v>592566</v>
      </c>
      <c r="G85" s="4" t="str">
        <f t="shared" si="1"/>
        <v>12/30/2023</v>
      </c>
      <c r="H85" s="4" t="str">
        <f t="shared" si="2"/>
        <v>5/8/1989</v>
      </c>
      <c r="I85" s="4" t="str">
        <f t="shared" si="3"/>
        <v>Basic</v>
      </c>
      <c r="J85" s="4" t="str">
        <f t="shared" si="4"/>
        <v>Asian</v>
      </c>
    </row>
    <row r="86" ht="14.25" customHeight="1">
      <c r="A86" s="1" t="s">
        <v>1885</v>
      </c>
      <c r="B86" s="1" t="s">
        <v>381</v>
      </c>
      <c r="C86" s="1" t="s">
        <v>7</v>
      </c>
      <c r="D86" s="1" t="s">
        <v>13</v>
      </c>
      <c r="F86" s="1" t="str">
        <f>IFERROR(__xludf.DUMMYFUNCTION("""COMPUTED_VALUE"""),"119168")</f>
        <v>119168</v>
      </c>
      <c r="G86" s="4" t="str">
        <f t="shared" si="1"/>
        <v>12/15/2023</v>
      </c>
      <c r="H86" s="4" t="str">
        <f t="shared" si="2"/>
        <v>4/15/2015</v>
      </c>
      <c r="I86" s="4" t="str">
        <f t="shared" si="3"/>
        <v>Basic</v>
      </c>
      <c r="J86" s="4" t="str">
        <f t="shared" si="4"/>
        <v>Asian</v>
      </c>
    </row>
    <row r="87" ht="14.25" customHeight="1">
      <c r="A87" s="1" t="s">
        <v>1885</v>
      </c>
      <c r="B87" s="1" t="s">
        <v>381</v>
      </c>
      <c r="C87" s="1" t="s">
        <v>5</v>
      </c>
      <c r="D87" s="1" t="s">
        <v>1886</v>
      </c>
      <c r="F87" s="1" t="str">
        <f>IFERROR(__xludf.DUMMYFUNCTION("""COMPUTED_VALUE"""),"970548")</f>
        <v>970548</v>
      </c>
      <c r="G87" s="4" t="str">
        <f t="shared" si="1"/>
        <v>12/12/2023</v>
      </c>
      <c r="H87" s="4" t="str">
        <f t="shared" si="2"/>
        <v>5/9/1996</v>
      </c>
      <c r="I87" s="4" t="str">
        <f t="shared" si="3"/>
        <v>Platinum</v>
      </c>
      <c r="J87" s="4" t="str">
        <f t="shared" si="4"/>
        <v>Asian</v>
      </c>
    </row>
    <row r="88" ht="14.25" customHeight="1">
      <c r="A88" s="1" t="s">
        <v>1885</v>
      </c>
      <c r="B88" s="1" t="s">
        <v>381</v>
      </c>
      <c r="C88" s="1" t="s">
        <v>6</v>
      </c>
      <c r="D88" s="1" t="s">
        <v>11</v>
      </c>
      <c r="F88" s="1" t="str">
        <f>IFERROR(__xludf.DUMMYFUNCTION("""COMPUTED_VALUE"""),"569923")</f>
        <v>569923</v>
      </c>
      <c r="G88" s="4" t="str">
        <f t="shared" si="1"/>
        <v>12/4/2023</v>
      </c>
      <c r="H88" s="4" t="str">
        <f t="shared" si="2"/>
        <v>12/30/1975</v>
      </c>
      <c r="I88" s="4" t="str">
        <f t="shared" si="3"/>
        <v>Gold</v>
      </c>
      <c r="J88" s="4" t="str">
        <f t="shared" si="4"/>
        <v>Other</v>
      </c>
    </row>
    <row r="89" ht="14.25" customHeight="1">
      <c r="A89" s="1" t="s">
        <v>1887</v>
      </c>
      <c r="B89" s="1" t="s">
        <v>264</v>
      </c>
      <c r="C89" s="1" t="s">
        <v>7</v>
      </c>
      <c r="D89" s="1" t="s">
        <v>9</v>
      </c>
      <c r="F89" s="1" t="str">
        <f>IFERROR(__xludf.DUMMYFUNCTION("""COMPUTED_VALUE"""),"354147")</f>
        <v>354147</v>
      </c>
      <c r="G89" s="4" t="str">
        <f t="shared" si="1"/>
        <v>12/20/2023</v>
      </c>
      <c r="H89" s="4" t="str">
        <f t="shared" si="2"/>
        <v>4/14/2019</v>
      </c>
      <c r="I89" s="4" t="str">
        <f t="shared" si="3"/>
        <v>Gold</v>
      </c>
      <c r="J89" s="4" t="str">
        <f t="shared" si="4"/>
        <v>Black</v>
      </c>
    </row>
    <row r="90" ht="14.25" customHeight="1">
      <c r="A90" s="1" t="s">
        <v>1887</v>
      </c>
      <c r="B90" s="1" t="s">
        <v>264</v>
      </c>
      <c r="C90" s="1" t="s">
        <v>5</v>
      </c>
      <c r="D90" s="1" t="s">
        <v>1888</v>
      </c>
      <c r="F90" s="1" t="str">
        <f>IFERROR(__xludf.DUMMYFUNCTION("""COMPUTED_VALUE"""),"174699")</f>
        <v>174699</v>
      </c>
      <c r="G90" s="4" t="str">
        <f t="shared" si="1"/>
        <v>12/2/2023</v>
      </c>
      <c r="H90" s="4" t="str">
        <f t="shared" si="2"/>
        <v>3/13/1989</v>
      </c>
      <c r="I90" s="4" t="str">
        <f t="shared" si="3"/>
        <v>Gold</v>
      </c>
      <c r="J90" s="4" t="str">
        <f t="shared" si="4"/>
        <v>Asian</v>
      </c>
    </row>
    <row r="91" ht="14.25" customHeight="1">
      <c r="A91" s="1" t="s">
        <v>1887</v>
      </c>
      <c r="B91" s="1" t="s">
        <v>264</v>
      </c>
      <c r="C91" s="1" t="s">
        <v>6</v>
      </c>
      <c r="D91" s="1" t="s">
        <v>21</v>
      </c>
      <c r="F91" s="1" t="str">
        <f>IFERROR(__xludf.DUMMYFUNCTION("""COMPUTED_VALUE"""),"514598")</f>
        <v>514598</v>
      </c>
      <c r="G91" s="4" t="str">
        <f t="shared" si="1"/>
        <v>12/28/2023</v>
      </c>
      <c r="H91" s="4" t="str">
        <f t="shared" si="2"/>
        <v>10/10/1971</v>
      </c>
      <c r="I91" s="4" t="str">
        <f t="shared" si="3"/>
        <v>Platinum</v>
      </c>
      <c r="J91" s="4" t="str">
        <f t="shared" si="4"/>
        <v>Other</v>
      </c>
    </row>
    <row r="92" ht="14.25" customHeight="1">
      <c r="A92" s="1" t="s">
        <v>1889</v>
      </c>
      <c r="B92" s="1" t="s">
        <v>188</v>
      </c>
      <c r="C92" s="1" t="s">
        <v>7</v>
      </c>
      <c r="D92" s="1" t="s">
        <v>13</v>
      </c>
      <c r="F92" s="1"/>
    </row>
    <row r="93" ht="14.25" customHeight="1">
      <c r="A93" s="1" t="s">
        <v>1889</v>
      </c>
      <c r="B93" s="1" t="s">
        <v>188</v>
      </c>
      <c r="C93" s="1" t="s">
        <v>5</v>
      </c>
      <c r="D93" s="1" t="s">
        <v>1890</v>
      </c>
    </row>
    <row r="94" ht="14.25" customHeight="1">
      <c r="A94" s="1" t="s">
        <v>1889</v>
      </c>
      <c r="B94" s="1" t="s">
        <v>188</v>
      </c>
      <c r="C94" s="1" t="s">
        <v>6</v>
      </c>
      <c r="D94" s="1" t="s">
        <v>15</v>
      </c>
    </row>
    <row r="95" ht="14.25" customHeight="1">
      <c r="A95" s="1" t="s">
        <v>1891</v>
      </c>
      <c r="B95" s="1" t="s">
        <v>185</v>
      </c>
      <c r="C95" s="1" t="s">
        <v>7</v>
      </c>
      <c r="D95" s="1" t="s">
        <v>19</v>
      </c>
    </row>
    <row r="96" ht="14.25" customHeight="1">
      <c r="A96" s="1" t="s">
        <v>1891</v>
      </c>
      <c r="B96" s="1" t="s">
        <v>185</v>
      </c>
      <c r="C96" s="1" t="s">
        <v>5</v>
      </c>
      <c r="D96" s="1" t="s">
        <v>1892</v>
      </c>
    </row>
    <row r="97" ht="14.25" customHeight="1">
      <c r="A97" s="1" t="s">
        <v>1891</v>
      </c>
      <c r="B97" s="1" t="s">
        <v>185</v>
      </c>
      <c r="C97" s="1" t="s">
        <v>6</v>
      </c>
      <c r="D97" s="1" t="s">
        <v>15</v>
      </c>
    </row>
    <row r="98" ht="14.25" customHeight="1">
      <c r="A98" s="1" t="s">
        <v>1893</v>
      </c>
      <c r="B98" s="1" t="s">
        <v>233</v>
      </c>
      <c r="C98" s="1" t="s">
        <v>7</v>
      </c>
      <c r="D98" s="1" t="s">
        <v>9</v>
      </c>
    </row>
    <row r="99" ht="14.25" customHeight="1">
      <c r="A99" s="1" t="s">
        <v>1893</v>
      </c>
      <c r="B99" s="1" t="s">
        <v>233</v>
      </c>
      <c r="C99" s="1" t="s">
        <v>5</v>
      </c>
      <c r="D99" s="1" t="s">
        <v>1894</v>
      </c>
    </row>
    <row r="100" ht="14.25" customHeight="1">
      <c r="A100" s="1" t="s">
        <v>1893</v>
      </c>
      <c r="B100" s="1" t="s">
        <v>233</v>
      </c>
      <c r="C100" s="1" t="s">
        <v>6</v>
      </c>
      <c r="D100" s="1" t="s">
        <v>15</v>
      </c>
    </row>
    <row r="101" ht="14.25" customHeight="1">
      <c r="A101" s="1" t="s">
        <v>1895</v>
      </c>
      <c r="B101" s="1" t="s">
        <v>339</v>
      </c>
      <c r="C101" s="1" t="s">
        <v>7</v>
      </c>
      <c r="D101" s="1" t="s">
        <v>25</v>
      </c>
    </row>
    <row r="102" ht="14.25" customHeight="1">
      <c r="A102" s="1" t="s">
        <v>1895</v>
      </c>
      <c r="B102" s="1" t="s">
        <v>339</v>
      </c>
      <c r="C102" s="1" t="s">
        <v>5</v>
      </c>
      <c r="D102" s="1" t="s">
        <v>1896</v>
      </c>
    </row>
    <row r="103" ht="14.25" customHeight="1">
      <c r="A103" s="1" t="s">
        <v>1895</v>
      </c>
      <c r="B103" s="1" t="s">
        <v>339</v>
      </c>
      <c r="C103" s="1" t="s">
        <v>6</v>
      </c>
      <c r="D103" s="1" t="s">
        <v>21</v>
      </c>
    </row>
    <row r="104" ht="14.25" customHeight="1">
      <c r="A104" s="1" t="s">
        <v>1897</v>
      </c>
      <c r="B104" s="1" t="s">
        <v>398</v>
      </c>
      <c r="C104" s="1" t="s">
        <v>7</v>
      </c>
      <c r="D104" s="1" t="s">
        <v>25</v>
      </c>
    </row>
    <row r="105" ht="14.25" customHeight="1">
      <c r="A105" s="1" t="s">
        <v>1897</v>
      </c>
      <c r="B105" s="1" t="s">
        <v>398</v>
      </c>
      <c r="C105" s="1" t="s">
        <v>5</v>
      </c>
      <c r="D105" s="1" t="s">
        <v>1898</v>
      </c>
    </row>
    <row r="106" ht="14.25" customHeight="1">
      <c r="A106" s="1" t="s">
        <v>1897</v>
      </c>
      <c r="B106" s="1" t="s">
        <v>398</v>
      </c>
      <c r="C106" s="1" t="s">
        <v>6</v>
      </c>
      <c r="D106" s="1" t="s">
        <v>15</v>
      </c>
    </row>
    <row r="107" ht="14.25" customHeight="1">
      <c r="A107" s="1" t="s">
        <v>1899</v>
      </c>
      <c r="B107" s="1" t="s">
        <v>273</v>
      </c>
      <c r="C107" s="1" t="s">
        <v>7</v>
      </c>
      <c r="D107" s="1" t="s">
        <v>25</v>
      </c>
    </row>
    <row r="108" ht="14.25" customHeight="1">
      <c r="A108" s="1" t="s">
        <v>1899</v>
      </c>
      <c r="B108" s="1" t="s">
        <v>273</v>
      </c>
      <c r="C108" s="1" t="s">
        <v>5</v>
      </c>
      <c r="D108" s="1" t="s">
        <v>1900</v>
      </c>
    </row>
    <row r="109" ht="14.25" customHeight="1">
      <c r="A109" s="1" t="s">
        <v>1899</v>
      </c>
      <c r="B109" s="1" t="s">
        <v>273</v>
      </c>
      <c r="C109" s="1" t="s">
        <v>6</v>
      </c>
      <c r="D109" s="1" t="s">
        <v>15</v>
      </c>
    </row>
    <row r="110" ht="14.25" customHeight="1">
      <c r="A110" s="1" t="s">
        <v>1901</v>
      </c>
      <c r="B110" s="1" t="s">
        <v>194</v>
      </c>
      <c r="C110" s="1" t="s">
        <v>7</v>
      </c>
      <c r="D110" s="1" t="s">
        <v>19</v>
      </c>
    </row>
    <row r="111" ht="14.25" customHeight="1">
      <c r="A111" s="1" t="s">
        <v>1901</v>
      </c>
      <c r="B111" s="1" t="s">
        <v>194</v>
      </c>
      <c r="C111" s="1" t="s">
        <v>5</v>
      </c>
      <c r="D111" s="1" t="s">
        <v>1902</v>
      </c>
    </row>
    <row r="112" ht="14.25" customHeight="1">
      <c r="A112" s="1" t="s">
        <v>1901</v>
      </c>
      <c r="B112" s="1" t="s">
        <v>194</v>
      </c>
      <c r="C112" s="1" t="s">
        <v>6</v>
      </c>
      <c r="D112" s="1" t="s">
        <v>11</v>
      </c>
    </row>
    <row r="113" ht="14.25" customHeight="1">
      <c r="A113" s="1" t="s">
        <v>1903</v>
      </c>
      <c r="B113" s="1" t="s">
        <v>203</v>
      </c>
      <c r="C113" s="1" t="s">
        <v>7</v>
      </c>
      <c r="D113" s="1" t="s">
        <v>25</v>
      </c>
    </row>
    <row r="114" ht="14.25" customHeight="1">
      <c r="A114" s="1" t="s">
        <v>1903</v>
      </c>
      <c r="B114" s="1" t="s">
        <v>203</v>
      </c>
      <c r="C114" s="1" t="s">
        <v>5</v>
      </c>
      <c r="D114" s="1" t="s">
        <v>1904</v>
      </c>
    </row>
    <row r="115" ht="14.25" customHeight="1">
      <c r="A115" s="1" t="s">
        <v>1903</v>
      </c>
      <c r="B115" s="1" t="s">
        <v>203</v>
      </c>
      <c r="C115" s="1" t="s">
        <v>6</v>
      </c>
      <c r="D115" s="1" t="s">
        <v>11</v>
      </c>
    </row>
    <row r="116" ht="14.25" customHeight="1">
      <c r="A116" s="1" t="s">
        <v>1905</v>
      </c>
      <c r="B116" s="1" t="s">
        <v>472</v>
      </c>
      <c r="C116" s="1" t="s">
        <v>7</v>
      </c>
      <c r="D116" s="1" t="s">
        <v>19</v>
      </c>
    </row>
    <row r="117" ht="14.25" customHeight="1">
      <c r="A117" s="1" t="s">
        <v>1905</v>
      </c>
      <c r="B117" s="1" t="s">
        <v>472</v>
      </c>
      <c r="C117" s="1" t="s">
        <v>5</v>
      </c>
      <c r="D117" s="1" t="s">
        <v>1906</v>
      </c>
    </row>
    <row r="118" ht="14.25" customHeight="1">
      <c r="A118" s="1" t="s">
        <v>1905</v>
      </c>
      <c r="B118" s="1" t="s">
        <v>472</v>
      </c>
      <c r="C118" s="1" t="s">
        <v>6</v>
      </c>
      <c r="D118" s="1" t="s">
        <v>15</v>
      </c>
    </row>
    <row r="119" ht="14.25" customHeight="1">
      <c r="A119" s="1" t="s">
        <v>1907</v>
      </c>
      <c r="B119" s="1" t="s">
        <v>211</v>
      </c>
      <c r="C119" s="1" t="s">
        <v>7</v>
      </c>
      <c r="D119" s="1" t="s">
        <v>19</v>
      </c>
    </row>
    <row r="120" ht="14.25" customHeight="1">
      <c r="A120" s="1" t="s">
        <v>1907</v>
      </c>
      <c r="B120" s="1" t="s">
        <v>211</v>
      </c>
      <c r="C120" s="1" t="s">
        <v>5</v>
      </c>
      <c r="D120" s="1" t="s">
        <v>1908</v>
      </c>
    </row>
    <row r="121" ht="14.25" customHeight="1">
      <c r="A121" s="1" t="s">
        <v>1907</v>
      </c>
      <c r="B121" s="1" t="s">
        <v>211</v>
      </c>
      <c r="C121" s="1" t="s">
        <v>6</v>
      </c>
      <c r="D121" s="1" t="s">
        <v>15</v>
      </c>
    </row>
    <row r="122" ht="14.25" customHeight="1">
      <c r="A122" s="1" t="s">
        <v>1909</v>
      </c>
      <c r="B122" s="1" t="s">
        <v>214</v>
      </c>
      <c r="C122" s="1" t="s">
        <v>7</v>
      </c>
      <c r="D122" s="1" t="s">
        <v>9</v>
      </c>
    </row>
    <row r="123" ht="14.25" customHeight="1">
      <c r="A123" s="1" t="s">
        <v>1909</v>
      </c>
      <c r="B123" s="1" t="s">
        <v>214</v>
      </c>
      <c r="C123" s="1" t="s">
        <v>5</v>
      </c>
      <c r="D123" s="1" t="s">
        <v>164</v>
      </c>
    </row>
    <row r="124" ht="14.25" customHeight="1">
      <c r="A124" s="1" t="s">
        <v>1909</v>
      </c>
      <c r="B124" s="1" t="s">
        <v>214</v>
      </c>
      <c r="C124" s="1" t="s">
        <v>6</v>
      </c>
      <c r="D124" s="1" t="s">
        <v>11</v>
      </c>
    </row>
    <row r="125" ht="14.25" customHeight="1">
      <c r="A125" s="1" t="s">
        <v>1910</v>
      </c>
      <c r="B125" s="1" t="s">
        <v>339</v>
      </c>
      <c r="C125" s="1" t="s">
        <v>7</v>
      </c>
      <c r="D125" s="1" t="s">
        <v>9</v>
      </c>
    </row>
    <row r="126" ht="14.25" customHeight="1">
      <c r="A126" s="1" t="s">
        <v>1910</v>
      </c>
      <c r="B126" s="1" t="s">
        <v>339</v>
      </c>
      <c r="C126" s="1" t="s">
        <v>5</v>
      </c>
      <c r="D126" s="1" t="s">
        <v>1911</v>
      </c>
    </row>
    <row r="127" ht="14.25" customHeight="1">
      <c r="A127" s="1" t="s">
        <v>1910</v>
      </c>
      <c r="B127" s="1" t="s">
        <v>339</v>
      </c>
      <c r="C127" s="1" t="s">
        <v>6</v>
      </c>
      <c r="D127" s="1" t="s">
        <v>11</v>
      </c>
    </row>
    <row r="128" ht="14.25" customHeight="1">
      <c r="A128" s="1" t="s">
        <v>1912</v>
      </c>
      <c r="B128" s="1" t="s">
        <v>211</v>
      </c>
      <c r="C128" s="1" t="s">
        <v>7</v>
      </c>
      <c r="D128" s="1" t="s">
        <v>19</v>
      </c>
    </row>
    <row r="129" ht="14.25" customHeight="1">
      <c r="A129" s="1" t="s">
        <v>1912</v>
      </c>
      <c r="B129" s="1" t="s">
        <v>211</v>
      </c>
      <c r="C129" s="1" t="s">
        <v>5</v>
      </c>
      <c r="D129" s="1" t="s">
        <v>1913</v>
      </c>
    </row>
    <row r="130" ht="14.25" customHeight="1">
      <c r="A130" s="1" t="s">
        <v>1912</v>
      </c>
      <c r="B130" s="1" t="s">
        <v>211</v>
      </c>
      <c r="C130" s="1" t="s">
        <v>6</v>
      </c>
      <c r="D130" s="1" t="s">
        <v>21</v>
      </c>
    </row>
    <row r="131" ht="14.25" customHeight="1">
      <c r="A131" s="1" t="s">
        <v>1914</v>
      </c>
      <c r="B131" s="1" t="s">
        <v>211</v>
      </c>
      <c r="C131" s="1" t="s">
        <v>7</v>
      </c>
      <c r="D131" s="1" t="s">
        <v>13</v>
      </c>
    </row>
    <row r="132" ht="14.25" customHeight="1">
      <c r="A132" s="1" t="s">
        <v>1914</v>
      </c>
      <c r="B132" s="1" t="s">
        <v>211</v>
      </c>
      <c r="C132" s="1" t="s">
        <v>5</v>
      </c>
      <c r="D132" s="1" t="s">
        <v>1915</v>
      </c>
    </row>
    <row r="133" ht="14.25" customHeight="1">
      <c r="A133" s="1" t="s">
        <v>1914</v>
      </c>
      <c r="B133" s="1" t="s">
        <v>211</v>
      </c>
      <c r="C133" s="1" t="s">
        <v>6</v>
      </c>
      <c r="D133" s="1" t="s">
        <v>11</v>
      </c>
    </row>
    <row r="134" ht="14.25" customHeight="1">
      <c r="A134" s="1" t="s">
        <v>1916</v>
      </c>
      <c r="B134" s="1" t="s">
        <v>223</v>
      </c>
      <c r="C134" s="1" t="s">
        <v>7</v>
      </c>
      <c r="D134" s="1" t="s">
        <v>9</v>
      </c>
    </row>
    <row r="135" ht="14.25" customHeight="1">
      <c r="A135" s="1" t="s">
        <v>1916</v>
      </c>
      <c r="B135" s="1" t="s">
        <v>223</v>
      </c>
      <c r="C135" s="1" t="s">
        <v>5</v>
      </c>
      <c r="D135" s="1" t="s">
        <v>1917</v>
      </c>
    </row>
    <row r="136" ht="14.25" customHeight="1">
      <c r="A136" s="1" t="s">
        <v>1916</v>
      </c>
      <c r="B136" s="1" t="s">
        <v>223</v>
      </c>
      <c r="C136" s="1" t="s">
        <v>6</v>
      </c>
      <c r="D136" s="1" t="s">
        <v>15</v>
      </c>
    </row>
    <row r="137" ht="14.25" customHeight="1">
      <c r="A137" s="1" t="s">
        <v>1918</v>
      </c>
      <c r="B137" s="1" t="s">
        <v>310</v>
      </c>
      <c r="C137" s="1" t="s">
        <v>7</v>
      </c>
      <c r="D137" s="1" t="s">
        <v>19</v>
      </c>
    </row>
    <row r="138" ht="14.25" customHeight="1">
      <c r="A138" s="1" t="s">
        <v>1918</v>
      </c>
      <c r="B138" s="1" t="s">
        <v>310</v>
      </c>
      <c r="C138" s="1" t="s">
        <v>5</v>
      </c>
      <c r="D138" s="1" t="s">
        <v>1919</v>
      </c>
    </row>
    <row r="139" ht="14.25" customHeight="1">
      <c r="A139" s="1" t="s">
        <v>1918</v>
      </c>
      <c r="B139" s="1" t="s">
        <v>310</v>
      </c>
      <c r="C139" s="1" t="s">
        <v>6</v>
      </c>
      <c r="D139" s="1" t="s">
        <v>21</v>
      </c>
    </row>
    <row r="140" ht="14.25" customHeight="1">
      <c r="A140" s="1" t="s">
        <v>1920</v>
      </c>
      <c r="B140" s="1" t="s">
        <v>214</v>
      </c>
      <c r="C140" s="1" t="s">
        <v>7</v>
      </c>
      <c r="D140" s="1" t="s">
        <v>19</v>
      </c>
    </row>
    <row r="141" ht="14.25" customHeight="1">
      <c r="A141" s="1" t="s">
        <v>1920</v>
      </c>
      <c r="B141" s="1" t="s">
        <v>214</v>
      </c>
      <c r="C141" s="1" t="s">
        <v>5</v>
      </c>
      <c r="D141" s="1" t="s">
        <v>1921</v>
      </c>
    </row>
    <row r="142" ht="14.25" customHeight="1">
      <c r="A142" s="1" t="s">
        <v>1920</v>
      </c>
      <c r="B142" s="1" t="s">
        <v>214</v>
      </c>
      <c r="C142" s="1" t="s">
        <v>6</v>
      </c>
      <c r="D142" s="1" t="s">
        <v>15</v>
      </c>
    </row>
    <row r="143" ht="14.25" customHeight="1">
      <c r="A143" s="1" t="s">
        <v>1922</v>
      </c>
      <c r="B143" s="1" t="s">
        <v>307</v>
      </c>
      <c r="C143" s="1" t="s">
        <v>7</v>
      </c>
      <c r="D143" s="1" t="s">
        <v>25</v>
      </c>
    </row>
    <row r="144" ht="14.25" customHeight="1">
      <c r="A144" s="1" t="s">
        <v>1922</v>
      </c>
      <c r="B144" s="1" t="s">
        <v>307</v>
      </c>
      <c r="C144" s="1" t="s">
        <v>5</v>
      </c>
      <c r="D144" s="1" t="s">
        <v>1923</v>
      </c>
    </row>
    <row r="145" ht="14.25" customHeight="1">
      <c r="A145" s="1" t="s">
        <v>1922</v>
      </c>
      <c r="B145" s="1" t="s">
        <v>307</v>
      </c>
      <c r="C145" s="1" t="s">
        <v>6</v>
      </c>
      <c r="D145" s="1" t="s">
        <v>15</v>
      </c>
    </row>
    <row r="146" ht="14.25" customHeight="1">
      <c r="A146" s="1" t="s">
        <v>1871</v>
      </c>
      <c r="B146" s="1" t="s">
        <v>273</v>
      </c>
      <c r="C146" s="1" t="s">
        <v>7</v>
      </c>
      <c r="D146" s="1" t="s">
        <v>13</v>
      </c>
    </row>
    <row r="147" ht="14.25" customHeight="1">
      <c r="A147" s="1" t="s">
        <v>1871</v>
      </c>
      <c r="B147" s="1" t="s">
        <v>273</v>
      </c>
      <c r="C147" s="1" t="s">
        <v>5</v>
      </c>
      <c r="D147" s="1" t="s">
        <v>1872</v>
      </c>
    </row>
    <row r="148" ht="14.25" customHeight="1">
      <c r="A148" s="1" t="s">
        <v>1871</v>
      </c>
      <c r="B148" s="1" t="s">
        <v>273</v>
      </c>
      <c r="C148" s="1" t="s">
        <v>6</v>
      </c>
      <c r="D148" s="1" t="s">
        <v>21</v>
      </c>
    </row>
    <row r="149" ht="14.25" customHeight="1">
      <c r="A149" s="1" t="s">
        <v>1924</v>
      </c>
      <c r="B149" s="1" t="s">
        <v>191</v>
      </c>
      <c r="C149" s="1" t="s">
        <v>7</v>
      </c>
      <c r="D149" s="1" t="s">
        <v>13</v>
      </c>
    </row>
    <row r="150" ht="14.25" customHeight="1">
      <c r="A150" s="1" t="s">
        <v>1924</v>
      </c>
      <c r="B150" s="1" t="s">
        <v>191</v>
      </c>
      <c r="C150" s="1" t="s">
        <v>5</v>
      </c>
      <c r="D150" s="1" t="s">
        <v>1925</v>
      </c>
    </row>
    <row r="151" ht="14.25" customHeight="1">
      <c r="A151" s="1" t="s">
        <v>1924</v>
      </c>
      <c r="B151" s="1" t="s">
        <v>191</v>
      </c>
      <c r="C151" s="1" t="s">
        <v>6</v>
      </c>
      <c r="D151" s="1" t="s">
        <v>15</v>
      </c>
    </row>
    <row r="152" ht="14.25" customHeight="1">
      <c r="A152" s="1" t="s">
        <v>1926</v>
      </c>
      <c r="B152" s="1" t="s">
        <v>191</v>
      </c>
      <c r="C152" s="1" t="s">
        <v>7</v>
      </c>
      <c r="D152" s="1" t="s">
        <v>25</v>
      </c>
    </row>
    <row r="153" ht="14.25" customHeight="1">
      <c r="A153" s="1" t="s">
        <v>1926</v>
      </c>
      <c r="B153" s="1" t="s">
        <v>191</v>
      </c>
      <c r="C153" s="1" t="s">
        <v>5</v>
      </c>
      <c r="D153" s="1" t="s">
        <v>1927</v>
      </c>
    </row>
    <row r="154" ht="14.25" customHeight="1">
      <c r="A154" s="1" t="s">
        <v>1926</v>
      </c>
      <c r="B154" s="1" t="s">
        <v>191</v>
      </c>
      <c r="C154" s="1" t="s">
        <v>6</v>
      </c>
      <c r="D154" s="1" t="s">
        <v>11</v>
      </c>
    </row>
    <row r="155" ht="14.25" customHeight="1">
      <c r="A155" s="1" t="s">
        <v>1928</v>
      </c>
      <c r="B155" s="1" t="s">
        <v>188</v>
      </c>
      <c r="C155" s="1" t="s">
        <v>7</v>
      </c>
      <c r="D155" s="1" t="s">
        <v>13</v>
      </c>
    </row>
    <row r="156" ht="14.25" customHeight="1">
      <c r="A156" s="1" t="s">
        <v>1928</v>
      </c>
      <c r="B156" s="1" t="s">
        <v>188</v>
      </c>
      <c r="C156" s="1" t="s">
        <v>5</v>
      </c>
      <c r="D156" s="1" t="s">
        <v>1929</v>
      </c>
    </row>
    <row r="157" ht="14.25" customHeight="1">
      <c r="A157" s="1" t="s">
        <v>1928</v>
      </c>
      <c r="B157" s="1" t="s">
        <v>188</v>
      </c>
      <c r="C157" s="1" t="s">
        <v>6</v>
      </c>
      <c r="D157" s="1" t="s">
        <v>15</v>
      </c>
    </row>
    <row r="158" ht="14.25" customHeight="1">
      <c r="A158" s="1" t="s">
        <v>1930</v>
      </c>
      <c r="B158" s="1" t="s">
        <v>246</v>
      </c>
      <c r="C158" s="1" t="s">
        <v>7</v>
      </c>
      <c r="D158" s="1" t="s">
        <v>19</v>
      </c>
    </row>
    <row r="159" ht="14.25" customHeight="1">
      <c r="A159" s="1" t="s">
        <v>1930</v>
      </c>
      <c r="B159" s="1" t="s">
        <v>246</v>
      </c>
      <c r="C159" s="1" t="s">
        <v>5</v>
      </c>
      <c r="D159" s="1" t="s">
        <v>1931</v>
      </c>
    </row>
    <row r="160" ht="14.25" customHeight="1">
      <c r="A160" s="1" t="s">
        <v>1930</v>
      </c>
      <c r="B160" s="1" t="s">
        <v>246</v>
      </c>
      <c r="C160" s="1" t="s">
        <v>6</v>
      </c>
      <c r="D160" s="1" t="s">
        <v>15</v>
      </c>
    </row>
    <row r="161" ht="14.25" customHeight="1">
      <c r="A161" s="1" t="s">
        <v>1932</v>
      </c>
      <c r="B161" s="1" t="s">
        <v>246</v>
      </c>
      <c r="C161" s="1" t="s">
        <v>7</v>
      </c>
      <c r="D161" s="1" t="s">
        <v>13</v>
      </c>
    </row>
    <row r="162" ht="14.25" customHeight="1">
      <c r="A162" s="1" t="s">
        <v>1932</v>
      </c>
      <c r="B162" s="1" t="s">
        <v>246</v>
      </c>
      <c r="C162" s="1" t="s">
        <v>5</v>
      </c>
      <c r="D162" s="1" t="s">
        <v>1933</v>
      </c>
    </row>
    <row r="163" ht="14.25" customHeight="1">
      <c r="A163" s="1" t="s">
        <v>1932</v>
      </c>
      <c r="B163" s="1" t="s">
        <v>246</v>
      </c>
      <c r="C163" s="1" t="s">
        <v>6</v>
      </c>
      <c r="D163" s="1" t="s">
        <v>15</v>
      </c>
    </row>
    <row r="164" ht="14.25" customHeight="1">
      <c r="A164" s="1" t="s">
        <v>1934</v>
      </c>
      <c r="B164" s="1" t="s">
        <v>214</v>
      </c>
      <c r="C164" s="1" t="s">
        <v>7</v>
      </c>
      <c r="D164" s="1" t="s">
        <v>19</v>
      </c>
    </row>
    <row r="165" ht="14.25" customHeight="1">
      <c r="A165" s="1" t="s">
        <v>1934</v>
      </c>
      <c r="B165" s="1" t="s">
        <v>214</v>
      </c>
      <c r="C165" s="1" t="s">
        <v>5</v>
      </c>
      <c r="D165" s="1" t="s">
        <v>1935</v>
      </c>
    </row>
    <row r="166" ht="14.25" customHeight="1">
      <c r="A166" s="1" t="s">
        <v>1934</v>
      </c>
      <c r="B166" s="1" t="s">
        <v>214</v>
      </c>
      <c r="C166" s="1" t="s">
        <v>6</v>
      </c>
      <c r="D166" s="1" t="s">
        <v>15</v>
      </c>
    </row>
    <row r="167" ht="14.25" customHeight="1">
      <c r="A167" s="1" t="s">
        <v>1936</v>
      </c>
      <c r="B167" s="1" t="s">
        <v>264</v>
      </c>
      <c r="C167" s="1" t="s">
        <v>7</v>
      </c>
      <c r="D167" s="1" t="s">
        <v>19</v>
      </c>
    </row>
    <row r="168" ht="14.25" customHeight="1">
      <c r="A168" s="1" t="s">
        <v>1936</v>
      </c>
      <c r="B168" s="1" t="s">
        <v>264</v>
      </c>
      <c r="C168" s="1" t="s">
        <v>5</v>
      </c>
      <c r="D168" s="1" t="s">
        <v>1937</v>
      </c>
    </row>
    <row r="169" ht="14.25" customHeight="1">
      <c r="A169" s="1" t="s">
        <v>1936</v>
      </c>
      <c r="B169" s="1" t="s">
        <v>264</v>
      </c>
      <c r="C169" s="1" t="s">
        <v>6</v>
      </c>
      <c r="D169" s="1" t="s">
        <v>11</v>
      </c>
    </row>
    <row r="170" ht="14.25" customHeight="1">
      <c r="A170" s="1" t="s">
        <v>1938</v>
      </c>
      <c r="B170" s="1" t="s">
        <v>214</v>
      </c>
      <c r="C170" s="1" t="s">
        <v>7</v>
      </c>
      <c r="D170" s="1" t="s">
        <v>13</v>
      </c>
    </row>
    <row r="171" ht="14.25" customHeight="1">
      <c r="A171" s="1" t="s">
        <v>1938</v>
      </c>
      <c r="B171" s="1" t="s">
        <v>214</v>
      </c>
      <c r="C171" s="1" t="s">
        <v>5</v>
      </c>
      <c r="D171" s="1" t="s">
        <v>890</v>
      </c>
    </row>
    <row r="172" ht="14.25" customHeight="1">
      <c r="A172" s="1" t="s">
        <v>1938</v>
      </c>
      <c r="B172" s="1" t="s">
        <v>214</v>
      </c>
      <c r="C172" s="1" t="s">
        <v>6</v>
      </c>
      <c r="D172" s="1" t="s">
        <v>21</v>
      </c>
    </row>
    <row r="173" ht="14.25" customHeight="1">
      <c r="A173" s="1" t="s">
        <v>1939</v>
      </c>
      <c r="B173" s="1" t="s">
        <v>191</v>
      </c>
      <c r="C173" s="1" t="s">
        <v>7</v>
      </c>
      <c r="D173" s="1" t="s">
        <v>9</v>
      </c>
    </row>
    <row r="174" ht="14.25" customHeight="1">
      <c r="A174" s="1" t="s">
        <v>1939</v>
      </c>
      <c r="B174" s="1" t="s">
        <v>191</v>
      </c>
      <c r="C174" s="1" t="s">
        <v>5</v>
      </c>
      <c r="D174" s="1" t="s">
        <v>1940</v>
      </c>
    </row>
    <row r="175" ht="14.25" customHeight="1">
      <c r="A175" s="1" t="s">
        <v>1939</v>
      </c>
      <c r="B175" s="1" t="s">
        <v>191</v>
      </c>
      <c r="C175" s="1" t="s">
        <v>6</v>
      </c>
      <c r="D175" s="1" t="s">
        <v>21</v>
      </c>
    </row>
    <row r="176" ht="14.25" customHeight="1">
      <c r="A176" s="1" t="s">
        <v>1941</v>
      </c>
      <c r="B176" s="1" t="s">
        <v>223</v>
      </c>
      <c r="C176" s="1" t="s">
        <v>7</v>
      </c>
      <c r="D176" s="1" t="s">
        <v>9</v>
      </c>
    </row>
    <row r="177" ht="14.25" customHeight="1">
      <c r="A177" s="1" t="s">
        <v>1941</v>
      </c>
      <c r="B177" s="1" t="s">
        <v>223</v>
      </c>
      <c r="C177" s="1" t="s">
        <v>5</v>
      </c>
      <c r="D177" s="1" t="s">
        <v>1942</v>
      </c>
    </row>
    <row r="178" ht="14.25" customHeight="1">
      <c r="A178" s="1" t="s">
        <v>1941</v>
      </c>
      <c r="B178" s="1" t="s">
        <v>223</v>
      </c>
      <c r="C178" s="1" t="s">
        <v>6</v>
      </c>
      <c r="D178" s="1" t="s">
        <v>11</v>
      </c>
    </row>
    <row r="179" ht="14.25" customHeight="1">
      <c r="A179" s="1" t="s">
        <v>1943</v>
      </c>
      <c r="B179" s="1" t="s">
        <v>194</v>
      </c>
      <c r="C179" s="1" t="s">
        <v>7</v>
      </c>
      <c r="D179" s="1" t="s">
        <v>19</v>
      </c>
    </row>
    <row r="180" ht="14.25" customHeight="1">
      <c r="A180" s="1" t="s">
        <v>1943</v>
      </c>
      <c r="B180" s="1" t="s">
        <v>194</v>
      </c>
      <c r="C180" s="1" t="s">
        <v>5</v>
      </c>
      <c r="D180" s="1" t="s">
        <v>1944</v>
      </c>
    </row>
    <row r="181" ht="14.25" customHeight="1">
      <c r="A181" s="1" t="s">
        <v>1943</v>
      </c>
      <c r="B181" s="1" t="s">
        <v>194</v>
      </c>
      <c r="C181" s="1" t="s">
        <v>6</v>
      </c>
      <c r="D181" s="1" t="s">
        <v>11</v>
      </c>
    </row>
    <row r="182" ht="14.25" customHeight="1">
      <c r="A182" s="1" t="s">
        <v>1945</v>
      </c>
      <c r="B182" s="1" t="s">
        <v>381</v>
      </c>
      <c r="C182" s="1" t="s">
        <v>7</v>
      </c>
      <c r="D182" s="1" t="s">
        <v>19</v>
      </c>
    </row>
    <row r="183" ht="14.25" customHeight="1">
      <c r="A183" s="1" t="s">
        <v>1945</v>
      </c>
      <c r="B183" s="1" t="s">
        <v>381</v>
      </c>
      <c r="C183" s="1" t="s">
        <v>5</v>
      </c>
      <c r="D183" s="1" t="s">
        <v>1946</v>
      </c>
    </row>
    <row r="184" ht="14.25" customHeight="1">
      <c r="A184" s="1" t="s">
        <v>1945</v>
      </c>
      <c r="B184" s="1" t="s">
        <v>381</v>
      </c>
      <c r="C184" s="1" t="s">
        <v>6</v>
      </c>
      <c r="D184" s="1" t="s">
        <v>11</v>
      </c>
    </row>
    <row r="185" ht="14.25" customHeight="1">
      <c r="A185" s="1" t="s">
        <v>1947</v>
      </c>
      <c r="B185" s="1" t="s">
        <v>264</v>
      </c>
      <c r="C185" s="1" t="s">
        <v>7</v>
      </c>
      <c r="D185" s="1" t="s">
        <v>13</v>
      </c>
    </row>
    <row r="186" ht="14.25" customHeight="1">
      <c r="A186" s="1" t="s">
        <v>1947</v>
      </c>
      <c r="B186" s="1" t="s">
        <v>264</v>
      </c>
      <c r="C186" s="1" t="s">
        <v>5</v>
      </c>
      <c r="D186" s="1" t="s">
        <v>1948</v>
      </c>
    </row>
    <row r="187" ht="14.25" customHeight="1">
      <c r="A187" s="1" t="s">
        <v>1947</v>
      </c>
      <c r="B187" s="1" t="s">
        <v>264</v>
      </c>
      <c r="C187" s="1" t="s">
        <v>6</v>
      </c>
      <c r="D187" s="1" t="s">
        <v>11</v>
      </c>
    </row>
    <row r="188" ht="14.25" customHeight="1">
      <c r="A188" s="1" t="s">
        <v>1949</v>
      </c>
      <c r="B188" s="1" t="s">
        <v>324</v>
      </c>
      <c r="C188" s="1" t="s">
        <v>7</v>
      </c>
      <c r="D188" s="1" t="s">
        <v>19</v>
      </c>
    </row>
    <row r="189" ht="14.25" customHeight="1">
      <c r="A189" s="1" t="s">
        <v>1949</v>
      </c>
      <c r="B189" s="1" t="s">
        <v>324</v>
      </c>
      <c r="C189" s="1" t="s">
        <v>5</v>
      </c>
      <c r="D189" s="1" t="s">
        <v>1950</v>
      </c>
    </row>
    <row r="190" ht="14.25" customHeight="1">
      <c r="A190" s="1" t="s">
        <v>1949</v>
      </c>
      <c r="B190" s="1" t="s">
        <v>324</v>
      </c>
      <c r="C190" s="1" t="s">
        <v>6</v>
      </c>
      <c r="D190" s="1" t="s">
        <v>21</v>
      </c>
    </row>
    <row r="191" ht="14.25" customHeight="1">
      <c r="A191" s="1" t="s">
        <v>1951</v>
      </c>
      <c r="B191" s="1" t="s">
        <v>249</v>
      </c>
      <c r="C191" s="1" t="s">
        <v>7</v>
      </c>
      <c r="D191" s="1" t="s">
        <v>25</v>
      </c>
    </row>
    <row r="192" ht="14.25" customHeight="1">
      <c r="A192" s="1" t="s">
        <v>1951</v>
      </c>
      <c r="B192" s="1" t="s">
        <v>249</v>
      </c>
      <c r="C192" s="1" t="s">
        <v>5</v>
      </c>
      <c r="D192" s="1" t="s">
        <v>1952</v>
      </c>
    </row>
    <row r="193" ht="14.25" customHeight="1">
      <c r="A193" s="1" t="s">
        <v>1951</v>
      </c>
      <c r="B193" s="1" t="s">
        <v>249</v>
      </c>
      <c r="C193" s="1" t="s">
        <v>6</v>
      </c>
      <c r="D193" s="1" t="s">
        <v>11</v>
      </c>
    </row>
    <row r="194" ht="14.25" customHeight="1">
      <c r="A194" s="1" t="s">
        <v>1953</v>
      </c>
      <c r="B194" s="1" t="s">
        <v>211</v>
      </c>
      <c r="C194" s="1" t="s">
        <v>7</v>
      </c>
      <c r="D194" s="1" t="s">
        <v>9</v>
      </c>
    </row>
    <row r="195" ht="14.25" customHeight="1">
      <c r="A195" s="1" t="s">
        <v>1953</v>
      </c>
      <c r="B195" s="1" t="s">
        <v>211</v>
      </c>
      <c r="C195" s="1" t="s">
        <v>5</v>
      </c>
      <c r="D195" s="1" t="s">
        <v>1954</v>
      </c>
    </row>
    <row r="196" ht="14.25" customHeight="1">
      <c r="A196" s="1" t="s">
        <v>1953</v>
      </c>
      <c r="B196" s="1" t="s">
        <v>211</v>
      </c>
      <c r="C196" s="1" t="s">
        <v>6</v>
      </c>
      <c r="D196" s="1" t="s">
        <v>21</v>
      </c>
    </row>
    <row r="197" ht="14.25" customHeight="1">
      <c r="A197" s="1" t="s">
        <v>1955</v>
      </c>
      <c r="B197" s="1" t="s">
        <v>310</v>
      </c>
      <c r="C197" s="1" t="s">
        <v>7</v>
      </c>
      <c r="D197" s="1" t="s">
        <v>13</v>
      </c>
    </row>
    <row r="198" ht="14.25" customHeight="1">
      <c r="A198" s="1" t="s">
        <v>1955</v>
      </c>
      <c r="B198" s="1" t="s">
        <v>310</v>
      </c>
      <c r="C198" s="1" t="s">
        <v>5</v>
      </c>
      <c r="D198" s="1" t="s">
        <v>1768</v>
      </c>
    </row>
    <row r="199" ht="14.25" customHeight="1">
      <c r="A199" s="1" t="s">
        <v>1955</v>
      </c>
      <c r="B199" s="1" t="s">
        <v>310</v>
      </c>
      <c r="C199" s="1" t="s">
        <v>6</v>
      </c>
      <c r="D199" s="1" t="s">
        <v>21</v>
      </c>
    </row>
    <row r="200" ht="14.25" customHeight="1">
      <c r="A200" s="1" t="s">
        <v>1956</v>
      </c>
      <c r="B200" s="1" t="s">
        <v>307</v>
      </c>
      <c r="C200" s="1" t="s">
        <v>7</v>
      </c>
      <c r="D200" s="1" t="s">
        <v>9</v>
      </c>
    </row>
    <row r="201" ht="14.25" customHeight="1">
      <c r="A201" s="1" t="s">
        <v>1956</v>
      </c>
      <c r="B201" s="1" t="s">
        <v>307</v>
      </c>
      <c r="C201" s="1" t="s">
        <v>5</v>
      </c>
      <c r="D201" s="1" t="s">
        <v>1957</v>
      </c>
    </row>
    <row r="202" ht="14.25" customHeight="1">
      <c r="A202" s="1" t="s">
        <v>1956</v>
      </c>
      <c r="B202" s="1" t="s">
        <v>307</v>
      </c>
      <c r="C202" s="1" t="s">
        <v>6</v>
      </c>
      <c r="D202" s="1" t="s">
        <v>11</v>
      </c>
    </row>
    <row r="203" ht="14.25" customHeight="1">
      <c r="A203" s="1" t="s">
        <v>1958</v>
      </c>
      <c r="B203" s="1" t="s">
        <v>324</v>
      </c>
      <c r="C203" s="1" t="s">
        <v>7</v>
      </c>
      <c r="D203" s="1" t="s">
        <v>25</v>
      </c>
    </row>
    <row r="204" ht="14.25" customHeight="1">
      <c r="A204" s="1" t="s">
        <v>1958</v>
      </c>
      <c r="B204" s="1" t="s">
        <v>324</v>
      </c>
      <c r="C204" s="1" t="s">
        <v>5</v>
      </c>
      <c r="D204" s="1" t="s">
        <v>1959</v>
      </c>
    </row>
    <row r="205" ht="14.25" customHeight="1">
      <c r="A205" s="1" t="s">
        <v>1958</v>
      </c>
      <c r="B205" s="1" t="s">
        <v>324</v>
      </c>
      <c r="C205" s="1" t="s">
        <v>6</v>
      </c>
      <c r="D205" s="1" t="s">
        <v>15</v>
      </c>
    </row>
    <row r="206" ht="14.25" customHeight="1">
      <c r="A206" s="1" t="s">
        <v>1960</v>
      </c>
      <c r="B206" s="1" t="s">
        <v>236</v>
      </c>
      <c r="C206" s="1" t="s">
        <v>7</v>
      </c>
      <c r="D206" s="1" t="s">
        <v>9</v>
      </c>
    </row>
    <row r="207" ht="14.25" customHeight="1">
      <c r="A207" s="1" t="s">
        <v>1960</v>
      </c>
      <c r="B207" s="1" t="s">
        <v>236</v>
      </c>
      <c r="C207" s="1" t="s">
        <v>5</v>
      </c>
      <c r="D207" s="1" t="s">
        <v>1961</v>
      </c>
    </row>
    <row r="208" ht="14.25" customHeight="1">
      <c r="A208" s="1" t="s">
        <v>1960</v>
      </c>
      <c r="B208" s="1" t="s">
        <v>236</v>
      </c>
      <c r="C208" s="1" t="s">
        <v>6</v>
      </c>
      <c r="D208" s="1" t="s">
        <v>15</v>
      </c>
    </row>
    <row r="209" ht="14.25" customHeight="1">
      <c r="A209" s="1" t="s">
        <v>1962</v>
      </c>
      <c r="B209" s="1" t="s">
        <v>273</v>
      </c>
      <c r="C209" s="1" t="s">
        <v>7</v>
      </c>
      <c r="D209" s="1" t="s">
        <v>25</v>
      </c>
    </row>
    <row r="210" ht="14.25" customHeight="1">
      <c r="A210" s="1" t="s">
        <v>1962</v>
      </c>
      <c r="B210" s="1" t="s">
        <v>273</v>
      </c>
      <c r="C210" s="1" t="s">
        <v>5</v>
      </c>
      <c r="D210" s="1" t="s">
        <v>1963</v>
      </c>
    </row>
    <row r="211" ht="14.25" customHeight="1">
      <c r="A211" s="1" t="s">
        <v>1962</v>
      </c>
      <c r="B211" s="1" t="s">
        <v>273</v>
      </c>
      <c r="C211" s="1" t="s">
        <v>6</v>
      </c>
      <c r="D211" s="1" t="s">
        <v>11</v>
      </c>
    </row>
    <row r="212" ht="14.25" customHeight="1">
      <c r="A212" s="1" t="s">
        <v>1964</v>
      </c>
      <c r="B212" s="1" t="s">
        <v>273</v>
      </c>
      <c r="C212" s="1" t="s">
        <v>7</v>
      </c>
      <c r="D212" s="1" t="s">
        <v>9</v>
      </c>
    </row>
    <row r="213" ht="14.25" customHeight="1">
      <c r="A213" s="1" t="s">
        <v>1964</v>
      </c>
      <c r="B213" s="1" t="s">
        <v>273</v>
      </c>
      <c r="C213" s="1" t="s">
        <v>5</v>
      </c>
      <c r="D213" s="1" t="s">
        <v>1965</v>
      </c>
    </row>
    <row r="214" ht="14.25" customHeight="1">
      <c r="A214" s="1" t="s">
        <v>1964</v>
      </c>
      <c r="B214" s="1" t="s">
        <v>273</v>
      </c>
      <c r="C214" s="1" t="s">
        <v>6</v>
      </c>
      <c r="D214" s="1" t="s">
        <v>15</v>
      </c>
    </row>
    <row r="215" ht="14.25" customHeight="1">
      <c r="A215" s="1" t="s">
        <v>1966</v>
      </c>
      <c r="B215" s="1" t="s">
        <v>208</v>
      </c>
      <c r="C215" s="1" t="s">
        <v>7</v>
      </c>
      <c r="D215" s="1" t="s">
        <v>9</v>
      </c>
    </row>
    <row r="216" ht="14.25" customHeight="1">
      <c r="A216" s="1" t="s">
        <v>1966</v>
      </c>
      <c r="B216" s="1" t="s">
        <v>208</v>
      </c>
      <c r="C216" s="1" t="s">
        <v>5</v>
      </c>
      <c r="D216" s="1" t="s">
        <v>1967</v>
      </c>
    </row>
    <row r="217" ht="14.25" customHeight="1">
      <c r="A217" s="1" t="s">
        <v>1966</v>
      </c>
      <c r="B217" s="1" t="s">
        <v>208</v>
      </c>
      <c r="C217" s="1" t="s">
        <v>6</v>
      </c>
      <c r="D217" s="1" t="s">
        <v>15</v>
      </c>
    </row>
    <row r="218" ht="14.25" customHeight="1">
      <c r="A218" s="1" t="s">
        <v>1968</v>
      </c>
      <c r="B218" s="1" t="s">
        <v>249</v>
      </c>
      <c r="C218" s="1" t="s">
        <v>7</v>
      </c>
      <c r="D218" s="1" t="s">
        <v>25</v>
      </c>
    </row>
    <row r="219" ht="14.25" customHeight="1">
      <c r="A219" s="1" t="s">
        <v>1968</v>
      </c>
      <c r="B219" s="1" t="s">
        <v>249</v>
      </c>
      <c r="C219" s="1" t="s">
        <v>5</v>
      </c>
      <c r="D219" s="1" t="s">
        <v>693</v>
      </c>
    </row>
    <row r="220" ht="14.25" customHeight="1">
      <c r="A220" s="1" t="s">
        <v>1968</v>
      </c>
      <c r="B220" s="1" t="s">
        <v>249</v>
      </c>
      <c r="C220" s="1" t="s">
        <v>6</v>
      </c>
      <c r="D220" s="1" t="s">
        <v>11</v>
      </c>
    </row>
    <row r="221" ht="14.25" customHeight="1">
      <c r="A221" s="1" t="s">
        <v>1969</v>
      </c>
      <c r="B221" s="1" t="s">
        <v>249</v>
      </c>
      <c r="C221" s="1" t="s">
        <v>7</v>
      </c>
      <c r="D221" s="1" t="s">
        <v>19</v>
      </c>
    </row>
    <row r="222" ht="14.25" customHeight="1">
      <c r="A222" s="1" t="s">
        <v>1969</v>
      </c>
      <c r="B222" s="1" t="s">
        <v>249</v>
      </c>
      <c r="C222" s="1" t="s">
        <v>5</v>
      </c>
      <c r="D222" s="1" t="s">
        <v>1970</v>
      </c>
    </row>
    <row r="223" ht="14.25" customHeight="1">
      <c r="A223" s="1" t="s">
        <v>1969</v>
      </c>
      <c r="B223" s="1" t="s">
        <v>249</v>
      </c>
      <c r="C223" s="1" t="s">
        <v>6</v>
      </c>
      <c r="D223" s="1" t="s">
        <v>21</v>
      </c>
    </row>
    <row r="224" ht="14.25" customHeight="1">
      <c r="A224" s="1" t="s">
        <v>1971</v>
      </c>
      <c r="B224" s="1" t="s">
        <v>236</v>
      </c>
      <c r="C224" s="1" t="s">
        <v>7</v>
      </c>
      <c r="D224" s="1" t="s">
        <v>25</v>
      </c>
    </row>
    <row r="225" ht="14.25" customHeight="1">
      <c r="A225" s="1" t="s">
        <v>1971</v>
      </c>
      <c r="B225" s="1" t="s">
        <v>236</v>
      </c>
      <c r="C225" s="1" t="s">
        <v>5</v>
      </c>
      <c r="D225" s="1" t="s">
        <v>1972</v>
      </c>
    </row>
    <row r="226" ht="14.25" customHeight="1">
      <c r="A226" s="1" t="s">
        <v>1971</v>
      </c>
      <c r="B226" s="1" t="s">
        <v>236</v>
      </c>
      <c r="C226" s="1" t="s">
        <v>6</v>
      </c>
      <c r="D226" s="1" t="s">
        <v>21</v>
      </c>
    </row>
    <row r="227" ht="14.25" customHeight="1">
      <c r="A227" s="1" t="s">
        <v>1973</v>
      </c>
      <c r="B227" s="1" t="s">
        <v>182</v>
      </c>
      <c r="C227" s="1" t="s">
        <v>7</v>
      </c>
      <c r="D227" s="1" t="s">
        <v>9</v>
      </c>
    </row>
    <row r="228" ht="14.25" customHeight="1">
      <c r="A228" s="1" t="s">
        <v>1973</v>
      </c>
      <c r="B228" s="1" t="s">
        <v>182</v>
      </c>
      <c r="C228" s="1" t="s">
        <v>5</v>
      </c>
      <c r="D228" s="1" t="s">
        <v>1974</v>
      </c>
    </row>
    <row r="229" ht="14.25" customHeight="1">
      <c r="A229" s="1" t="s">
        <v>1973</v>
      </c>
      <c r="B229" s="1" t="s">
        <v>182</v>
      </c>
      <c r="C229" s="1" t="s">
        <v>6</v>
      </c>
      <c r="D229" s="1" t="s">
        <v>21</v>
      </c>
    </row>
    <row r="230" ht="14.25" customHeight="1">
      <c r="A230" s="1" t="s">
        <v>1975</v>
      </c>
      <c r="B230" s="1" t="s">
        <v>339</v>
      </c>
      <c r="C230" s="1" t="s">
        <v>7</v>
      </c>
      <c r="D230" s="1" t="s">
        <v>9</v>
      </c>
    </row>
    <row r="231" ht="14.25" customHeight="1">
      <c r="A231" s="1" t="s">
        <v>1975</v>
      </c>
      <c r="B231" s="1" t="s">
        <v>339</v>
      </c>
      <c r="C231" s="1" t="s">
        <v>5</v>
      </c>
      <c r="D231" s="1" t="s">
        <v>1884</v>
      </c>
    </row>
    <row r="232" ht="14.25" customHeight="1">
      <c r="A232" s="1" t="s">
        <v>1975</v>
      </c>
      <c r="B232" s="1" t="s">
        <v>339</v>
      </c>
      <c r="C232" s="1" t="s">
        <v>6</v>
      </c>
      <c r="D232" s="1" t="s">
        <v>11</v>
      </c>
    </row>
    <row r="233" ht="14.25" customHeight="1">
      <c r="A233" s="1" t="s">
        <v>1976</v>
      </c>
      <c r="B233" s="1" t="s">
        <v>185</v>
      </c>
      <c r="C233" s="1" t="s">
        <v>7</v>
      </c>
      <c r="D233" s="1" t="s">
        <v>13</v>
      </c>
    </row>
    <row r="234" ht="14.25" customHeight="1">
      <c r="A234" s="1" t="s">
        <v>1976</v>
      </c>
      <c r="B234" s="1" t="s">
        <v>185</v>
      </c>
      <c r="C234" s="1" t="s">
        <v>5</v>
      </c>
      <c r="D234" s="1" t="s">
        <v>1977</v>
      </c>
    </row>
    <row r="235" ht="14.25" customHeight="1">
      <c r="A235" s="1" t="s">
        <v>1976</v>
      </c>
      <c r="B235" s="1" t="s">
        <v>185</v>
      </c>
      <c r="C235" s="1" t="s">
        <v>6</v>
      </c>
      <c r="D235" s="1" t="s">
        <v>15</v>
      </c>
    </row>
    <row r="236" ht="14.25" customHeight="1">
      <c r="A236" s="1" t="s">
        <v>1978</v>
      </c>
      <c r="B236" s="1" t="s">
        <v>236</v>
      </c>
      <c r="C236" s="1" t="s">
        <v>7</v>
      </c>
      <c r="D236" s="1" t="s">
        <v>19</v>
      </c>
    </row>
    <row r="237" ht="14.25" customHeight="1">
      <c r="A237" s="1" t="s">
        <v>1978</v>
      </c>
      <c r="B237" s="1" t="s">
        <v>236</v>
      </c>
      <c r="C237" s="1" t="s">
        <v>5</v>
      </c>
      <c r="D237" s="1" t="s">
        <v>1979</v>
      </c>
    </row>
    <row r="238" ht="14.25" customHeight="1">
      <c r="A238" s="1" t="s">
        <v>1978</v>
      </c>
      <c r="B238" s="1" t="s">
        <v>236</v>
      </c>
      <c r="C238" s="1" t="s">
        <v>6</v>
      </c>
      <c r="D238" s="1" t="s">
        <v>15</v>
      </c>
    </row>
    <row r="239" ht="14.25" customHeight="1">
      <c r="A239" s="1" t="s">
        <v>1980</v>
      </c>
      <c r="B239" s="1" t="s">
        <v>264</v>
      </c>
      <c r="C239" s="1" t="s">
        <v>7</v>
      </c>
      <c r="D239" s="1" t="s">
        <v>25</v>
      </c>
    </row>
    <row r="240" ht="14.25" customHeight="1">
      <c r="A240" s="1" t="s">
        <v>1980</v>
      </c>
      <c r="B240" s="1" t="s">
        <v>264</v>
      </c>
      <c r="C240" s="1" t="s">
        <v>5</v>
      </c>
      <c r="D240" s="1" t="s">
        <v>1981</v>
      </c>
    </row>
    <row r="241" ht="14.25" customHeight="1">
      <c r="A241" s="1" t="s">
        <v>1980</v>
      </c>
      <c r="B241" s="1" t="s">
        <v>264</v>
      </c>
      <c r="C241" s="1" t="s">
        <v>6</v>
      </c>
      <c r="D241" s="1" t="s">
        <v>11</v>
      </c>
    </row>
    <row r="242" ht="14.25" customHeight="1">
      <c r="A242" s="1" t="s">
        <v>1982</v>
      </c>
      <c r="B242" s="1" t="s">
        <v>203</v>
      </c>
      <c r="C242" s="1" t="s">
        <v>7</v>
      </c>
      <c r="D242" s="1" t="s">
        <v>19</v>
      </c>
    </row>
    <row r="243" ht="14.25" customHeight="1">
      <c r="A243" s="1" t="s">
        <v>1982</v>
      </c>
      <c r="B243" s="1" t="s">
        <v>203</v>
      </c>
      <c r="C243" s="1" t="s">
        <v>5</v>
      </c>
      <c r="D243" s="1" t="s">
        <v>1983</v>
      </c>
    </row>
    <row r="244" ht="14.25" customHeight="1">
      <c r="A244" s="1" t="s">
        <v>1982</v>
      </c>
      <c r="B244" s="1" t="s">
        <v>203</v>
      </c>
      <c r="C244" s="1" t="s">
        <v>6</v>
      </c>
      <c r="D244" s="1" t="s">
        <v>15</v>
      </c>
    </row>
    <row r="245" ht="14.25" customHeight="1">
      <c r="A245" s="1" t="s">
        <v>1984</v>
      </c>
      <c r="B245" s="1" t="s">
        <v>239</v>
      </c>
      <c r="C245" s="1" t="s">
        <v>7</v>
      </c>
      <c r="D245" s="1" t="s">
        <v>13</v>
      </c>
    </row>
    <row r="246" ht="14.25" customHeight="1">
      <c r="A246" s="1" t="s">
        <v>1984</v>
      </c>
      <c r="B246" s="1" t="s">
        <v>239</v>
      </c>
      <c r="C246" s="1" t="s">
        <v>5</v>
      </c>
      <c r="D246" s="1" t="s">
        <v>900</v>
      </c>
    </row>
    <row r="247" ht="14.25" customHeight="1">
      <c r="A247" s="1" t="s">
        <v>1984</v>
      </c>
      <c r="B247" s="1" t="s">
        <v>239</v>
      </c>
      <c r="C247" s="1" t="s">
        <v>6</v>
      </c>
      <c r="D247" s="1" t="s">
        <v>15</v>
      </c>
    </row>
    <row r="248" ht="14.25" customHeight="1">
      <c r="A248" s="1" t="s">
        <v>1985</v>
      </c>
      <c r="B248" s="1" t="s">
        <v>191</v>
      </c>
      <c r="C248" s="1" t="s">
        <v>7</v>
      </c>
      <c r="D248" s="1" t="s">
        <v>19</v>
      </c>
    </row>
    <row r="249" ht="14.25" customHeight="1">
      <c r="A249" s="1" t="s">
        <v>1985</v>
      </c>
      <c r="B249" s="1" t="s">
        <v>191</v>
      </c>
      <c r="C249" s="1" t="s">
        <v>5</v>
      </c>
      <c r="D249" s="1" t="s">
        <v>1986</v>
      </c>
    </row>
    <row r="250" ht="14.25" customHeight="1">
      <c r="A250" s="1" t="s">
        <v>1985</v>
      </c>
      <c r="B250" s="1" t="s">
        <v>191</v>
      </c>
      <c r="C250" s="1" t="s">
        <v>6</v>
      </c>
      <c r="D250" s="1" t="s">
        <v>11</v>
      </c>
    </row>
    <row r="251" ht="14.25" customHeight="1">
      <c r="A251" s="1" t="s">
        <v>1987</v>
      </c>
      <c r="B251" s="1" t="s">
        <v>200</v>
      </c>
      <c r="C251" s="1" t="s">
        <v>7</v>
      </c>
      <c r="D251" s="1" t="s">
        <v>19</v>
      </c>
    </row>
    <row r="252" ht="14.25" customHeight="1">
      <c r="A252" s="1" t="s">
        <v>1987</v>
      </c>
      <c r="B252" s="1" t="s">
        <v>200</v>
      </c>
      <c r="C252" s="1" t="s">
        <v>5</v>
      </c>
      <c r="D252" s="1" t="s">
        <v>1988</v>
      </c>
    </row>
    <row r="253" ht="14.25" customHeight="1">
      <c r="A253" s="1" t="s">
        <v>1987</v>
      </c>
      <c r="B253" s="1" t="s">
        <v>200</v>
      </c>
      <c r="C253" s="1" t="s">
        <v>6</v>
      </c>
      <c r="D253" s="1" t="s">
        <v>15</v>
      </c>
    </row>
    <row r="254" ht="14.25" customHeight="1">
      <c r="A254" s="1" t="s">
        <v>1989</v>
      </c>
      <c r="B254" s="1" t="s">
        <v>472</v>
      </c>
      <c r="C254" s="1" t="s">
        <v>7</v>
      </c>
      <c r="D254" s="1" t="s">
        <v>19</v>
      </c>
    </row>
    <row r="255" ht="14.25" customHeight="1">
      <c r="A255" s="1" t="s">
        <v>1989</v>
      </c>
      <c r="B255" s="1" t="s">
        <v>472</v>
      </c>
      <c r="C255" s="1" t="s">
        <v>5</v>
      </c>
      <c r="D255" s="1" t="s">
        <v>1990</v>
      </c>
    </row>
    <row r="256" ht="14.25" customHeight="1">
      <c r="A256" s="1" t="s">
        <v>1989</v>
      </c>
      <c r="B256" s="1" t="s">
        <v>472</v>
      </c>
      <c r="C256" s="1" t="s">
        <v>6</v>
      </c>
      <c r="D256" s="1" t="s">
        <v>21</v>
      </c>
    </row>
    <row r="257" ht="14.25" customHeight="1">
      <c r="A257" s="1" t="s">
        <v>1991</v>
      </c>
      <c r="B257" s="1" t="s">
        <v>264</v>
      </c>
      <c r="C257" s="1" t="s">
        <v>7</v>
      </c>
      <c r="D257" s="1" t="s">
        <v>19</v>
      </c>
    </row>
    <row r="258" ht="14.25" customHeight="1">
      <c r="A258" s="1" t="s">
        <v>1991</v>
      </c>
      <c r="B258" s="1" t="s">
        <v>264</v>
      </c>
      <c r="C258" s="1" t="s">
        <v>5</v>
      </c>
      <c r="D258" s="1" t="s">
        <v>1992</v>
      </c>
    </row>
    <row r="259" ht="14.25" customHeight="1">
      <c r="A259" s="1" t="s">
        <v>1991</v>
      </c>
      <c r="B259" s="1" t="s">
        <v>264</v>
      </c>
      <c r="C259" s="1" t="s">
        <v>6</v>
      </c>
      <c r="D259" s="1" t="s">
        <v>21</v>
      </c>
    </row>
    <row r="260" ht="14.25" customHeight="1">
      <c r="A260" s="1" t="s">
        <v>1993</v>
      </c>
      <c r="B260" s="1" t="s">
        <v>324</v>
      </c>
      <c r="C260" s="1" t="s">
        <v>7</v>
      </c>
      <c r="D260" s="1" t="s">
        <v>19</v>
      </c>
    </row>
    <row r="261" ht="14.25" customHeight="1">
      <c r="A261" s="1" t="s">
        <v>1993</v>
      </c>
      <c r="B261" s="1" t="s">
        <v>324</v>
      </c>
      <c r="C261" s="1" t="s">
        <v>5</v>
      </c>
      <c r="D261" s="1" t="s">
        <v>1994</v>
      </c>
    </row>
    <row r="262" ht="14.25" customHeight="1">
      <c r="A262" s="1" t="s">
        <v>1993</v>
      </c>
      <c r="B262" s="1" t="s">
        <v>324</v>
      </c>
      <c r="C262" s="1" t="s">
        <v>6</v>
      </c>
      <c r="D262" s="1" t="s">
        <v>11</v>
      </c>
    </row>
    <row r="263" ht="14.25" customHeight="1">
      <c r="A263" s="1" t="s">
        <v>1995</v>
      </c>
      <c r="B263" s="1" t="s">
        <v>310</v>
      </c>
      <c r="C263" s="1" t="s">
        <v>7</v>
      </c>
      <c r="D263" s="1" t="s">
        <v>9</v>
      </c>
    </row>
    <row r="264" ht="14.25" customHeight="1">
      <c r="A264" s="1" t="s">
        <v>1995</v>
      </c>
      <c r="B264" s="1" t="s">
        <v>310</v>
      </c>
      <c r="C264" s="1" t="s">
        <v>5</v>
      </c>
      <c r="D264" s="1" t="s">
        <v>1996</v>
      </c>
    </row>
    <row r="265" ht="14.25" customHeight="1">
      <c r="A265" s="1" t="s">
        <v>1995</v>
      </c>
      <c r="B265" s="1" t="s">
        <v>310</v>
      </c>
      <c r="C265" s="1" t="s">
        <v>6</v>
      </c>
      <c r="D265" s="1" t="s">
        <v>15</v>
      </c>
    </row>
    <row r="266" ht="14.25" customHeight="1">
      <c r="A266" s="1" t="s">
        <v>1997</v>
      </c>
      <c r="B266" s="1" t="s">
        <v>182</v>
      </c>
      <c r="C266" s="1" t="s">
        <v>7</v>
      </c>
      <c r="D266" s="1" t="s">
        <v>25</v>
      </c>
    </row>
    <row r="267" ht="14.25" customHeight="1">
      <c r="A267" s="1" t="s">
        <v>1997</v>
      </c>
      <c r="B267" s="1" t="s">
        <v>182</v>
      </c>
      <c r="C267" s="1" t="s">
        <v>5</v>
      </c>
      <c r="D267" s="1" t="s">
        <v>1998</v>
      </c>
    </row>
    <row r="268" ht="14.25" customHeight="1">
      <c r="A268" s="1" t="s">
        <v>1997</v>
      </c>
      <c r="B268" s="1" t="s">
        <v>182</v>
      </c>
      <c r="C268" s="1" t="s">
        <v>6</v>
      </c>
      <c r="D268" s="1" t="s">
        <v>15</v>
      </c>
    </row>
    <row r="269" ht="14.25" customHeight="1">
      <c r="A269" s="1" t="s">
        <v>1999</v>
      </c>
      <c r="B269" s="1" t="s">
        <v>236</v>
      </c>
      <c r="C269" s="1" t="s">
        <v>7</v>
      </c>
      <c r="D269" s="1" t="s">
        <v>19</v>
      </c>
    </row>
    <row r="270" ht="14.25" customHeight="1">
      <c r="A270" s="1" t="s">
        <v>1999</v>
      </c>
      <c r="B270" s="1" t="s">
        <v>236</v>
      </c>
      <c r="C270" s="1" t="s">
        <v>5</v>
      </c>
      <c r="D270" s="1" t="s">
        <v>2000</v>
      </c>
    </row>
    <row r="271" ht="14.25" customHeight="1">
      <c r="A271" s="1" t="s">
        <v>1999</v>
      </c>
      <c r="B271" s="1" t="s">
        <v>236</v>
      </c>
      <c r="C271" s="1" t="s">
        <v>6</v>
      </c>
      <c r="D271" s="1" t="s">
        <v>15</v>
      </c>
    </row>
    <row r="272" ht="14.25" customHeight="1">
      <c r="A272" s="1" t="s">
        <v>2001</v>
      </c>
      <c r="B272" s="1" t="s">
        <v>211</v>
      </c>
      <c r="C272" s="1" t="s">
        <v>7</v>
      </c>
      <c r="D272" s="1" t="s">
        <v>9</v>
      </c>
    </row>
    <row r="273" ht="14.25" customHeight="1">
      <c r="A273" s="1" t="s">
        <v>2001</v>
      </c>
      <c r="B273" s="1" t="s">
        <v>211</v>
      </c>
      <c r="C273" s="1" t="s">
        <v>5</v>
      </c>
      <c r="D273" s="1" t="s">
        <v>2002</v>
      </c>
    </row>
    <row r="274" ht="14.25" customHeight="1">
      <c r="A274" s="1" t="s">
        <v>2001</v>
      </c>
      <c r="B274" s="1" t="s">
        <v>211</v>
      </c>
      <c r="C274" s="1" t="s">
        <v>6</v>
      </c>
      <c r="D274" s="1" t="s">
        <v>11</v>
      </c>
    </row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1.57"/>
    <col customWidth="1" min="3" max="3" width="12.0"/>
    <col customWidth="1" min="4" max="4" width="12.57"/>
    <col customWidth="1" min="5" max="5" width="8.57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>
      <c r="A2" s="1" t="str">
        <f>January!F2</f>
        <v>863243</v>
      </c>
      <c r="B2" s="1" t="str">
        <f>January!G2</f>
        <v>01/1/2023</v>
      </c>
      <c r="C2" s="1" t="str">
        <f>January!H2</f>
        <v>12/30/2007</v>
      </c>
      <c r="D2" s="1" t="str">
        <f>January!I2</f>
        <v>Platinum</v>
      </c>
      <c r="E2" s="1" t="str">
        <f>January!J2</f>
        <v>Other</v>
      </c>
    </row>
    <row r="3">
      <c r="A3" s="1" t="str">
        <f>January!F3</f>
        <v>893948</v>
      </c>
      <c r="B3" s="1" t="str">
        <f>January!G3</f>
        <v>01/1/2023</v>
      </c>
      <c r="C3" s="1" t="str">
        <f>January!H3</f>
        <v>9/1/2013</v>
      </c>
      <c r="D3" s="1" t="str">
        <f>January!I3</f>
        <v>Gold</v>
      </c>
      <c r="E3" s="1" t="str">
        <f>January!J3</f>
        <v>White</v>
      </c>
    </row>
    <row r="4">
      <c r="A4" s="1" t="str">
        <f>January!F4</f>
        <v>174968</v>
      </c>
      <c r="B4" s="1" t="str">
        <f>January!G4</f>
        <v>01/10/2023</v>
      </c>
      <c r="C4" s="1" t="str">
        <f>January!H4</f>
        <v>9/30/1980</v>
      </c>
      <c r="D4" s="1" t="str">
        <f>January!I4</f>
        <v>Platinum</v>
      </c>
      <c r="E4" s="1" t="str">
        <f>January!J4</f>
        <v>Other</v>
      </c>
    </row>
    <row r="5">
      <c r="A5" s="1" t="str">
        <f>January!F5</f>
        <v>427577</v>
      </c>
      <c r="B5" s="1" t="str">
        <f>January!G5</f>
        <v>01/10/2023</v>
      </c>
      <c r="C5" s="1" t="str">
        <f>January!H5</f>
        <v>1/6/1971</v>
      </c>
      <c r="D5" s="1" t="str">
        <f>January!I5</f>
        <v>Basic</v>
      </c>
      <c r="E5" s="1" t="str">
        <f>January!J5</f>
        <v>Asian</v>
      </c>
    </row>
    <row r="6">
      <c r="A6" s="1" t="str">
        <f>January!F6</f>
        <v>491519</v>
      </c>
      <c r="B6" s="1" t="str">
        <f>January!G6</f>
        <v>01/10/2023</v>
      </c>
      <c r="C6" s="1" t="str">
        <f>January!H6</f>
        <v>4/4/1955</v>
      </c>
      <c r="D6" s="1" t="str">
        <f>January!I6</f>
        <v>Gold</v>
      </c>
      <c r="E6" s="1" t="str">
        <f>January!J6</f>
        <v>Asian</v>
      </c>
    </row>
    <row r="7">
      <c r="A7" s="1" t="str">
        <f>January!F7</f>
        <v>716354</v>
      </c>
      <c r="B7" s="1" t="str">
        <f>January!G7</f>
        <v>01/10/2023</v>
      </c>
      <c r="C7" s="1" t="str">
        <f>January!H7</f>
        <v>12/18/1997</v>
      </c>
      <c r="D7" s="1" t="str">
        <f>January!I7</f>
        <v>Gold</v>
      </c>
      <c r="E7" s="1" t="str">
        <f>January!J7</f>
        <v>Black</v>
      </c>
    </row>
    <row r="8">
      <c r="A8" s="1" t="str">
        <f>January!F8</f>
        <v>994611</v>
      </c>
      <c r="B8" s="1" t="str">
        <f>January!G8</f>
        <v>01/10/2023</v>
      </c>
      <c r="C8" s="1" t="str">
        <f>January!H8</f>
        <v>6/19/1994</v>
      </c>
      <c r="D8" s="1" t="str">
        <f>January!I8</f>
        <v>Basic</v>
      </c>
      <c r="E8" s="1" t="str">
        <f>January!J8</f>
        <v>Black</v>
      </c>
    </row>
    <row r="9">
      <c r="A9" s="1" t="str">
        <f>January!F9</f>
        <v>177159</v>
      </c>
      <c r="B9" s="1" t="str">
        <f>January!G9</f>
        <v>01/11/2023</v>
      </c>
      <c r="C9" s="1" t="str">
        <f>January!H9</f>
        <v>11/10/1953</v>
      </c>
      <c r="D9" s="1" t="str">
        <f>January!I9</f>
        <v>Basic</v>
      </c>
      <c r="E9" s="1" t="str">
        <f>January!J9</f>
        <v>White</v>
      </c>
    </row>
    <row r="10">
      <c r="A10" s="1" t="str">
        <f>January!F10</f>
        <v>547679</v>
      </c>
      <c r="B10" s="1" t="str">
        <f>January!G10</f>
        <v>01/11/2023</v>
      </c>
      <c r="C10" s="1" t="str">
        <f>January!H10</f>
        <v>2/7/1949</v>
      </c>
      <c r="D10" s="1" t="str">
        <f>January!I10</f>
        <v>Basic</v>
      </c>
      <c r="E10" s="1" t="str">
        <f>January!J10</f>
        <v>White</v>
      </c>
    </row>
    <row r="11">
      <c r="A11" s="1" t="str">
        <f>January!F11</f>
        <v>806735</v>
      </c>
      <c r="B11" s="1" t="str">
        <f>January!G11</f>
        <v>01/11/2023</v>
      </c>
      <c r="C11" s="1" t="str">
        <f>January!H11</f>
        <v>4/15/1945</v>
      </c>
      <c r="D11" s="1" t="str">
        <f>January!I11</f>
        <v>Platinum</v>
      </c>
      <c r="E11" s="1" t="str">
        <f>January!J11</f>
        <v>Asian</v>
      </c>
    </row>
    <row r="12">
      <c r="A12" s="1" t="str">
        <f>January!F12</f>
        <v>888481</v>
      </c>
      <c r="B12" s="1" t="str">
        <f>January!G12</f>
        <v>01/11/2023</v>
      </c>
      <c r="C12" s="1" t="str">
        <f>January!H12</f>
        <v>10/14/2017</v>
      </c>
      <c r="D12" s="1" t="str">
        <f>January!I12</f>
        <v>Basic</v>
      </c>
      <c r="E12" s="1" t="str">
        <f>January!J12</f>
        <v>Other</v>
      </c>
    </row>
    <row r="13">
      <c r="A13" s="1" t="str">
        <f>January!F13</f>
        <v>155713</v>
      </c>
      <c r="B13" s="1" t="str">
        <f>January!G13</f>
        <v>01/12/2023</v>
      </c>
      <c r="C13" s="1" t="str">
        <f>January!H13</f>
        <v>7/3/2009</v>
      </c>
      <c r="D13" s="1" t="str">
        <f>January!I13</f>
        <v>Platinum</v>
      </c>
      <c r="E13" s="1" t="str">
        <f>January!J13</f>
        <v>White</v>
      </c>
    </row>
    <row r="14">
      <c r="A14" s="1" t="str">
        <f>January!F14</f>
        <v>673358</v>
      </c>
      <c r="B14" s="1" t="str">
        <f>January!G14</f>
        <v>01/12/2023</v>
      </c>
      <c r="C14" s="1" t="str">
        <f>January!H14</f>
        <v>1/14/2014</v>
      </c>
      <c r="D14" s="1" t="str">
        <f>January!I14</f>
        <v>Platinum</v>
      </c>
      <c r="E14" s="1" t="str">
        <f>January!J14</f>
        <v>Other</v>
      </c>
    </row>
    <row r="15">
      <c r="A15" s="1" t="str">
        <f>January!F15</f>
        <v>755120</v>
      </c>
      <c r="B15" s="1" t="str">
        <f>January!G15</f>
        <v>01/12/2023</v>
      </c>
      <c r="C15" s="1" t="str">
        <f>January!H15</f>
        <v>7/6/1984</v>
      </c>
      <c r="D15" s="1" t="str">
        <f>January!I15</f>
        <v>Platinum</v>
      </c>
      <c r="E15" s="1" t="str">
        <f>January!J15</f>
        <v>Other</v>
      </c>
    </row>
    <row r="16">
      <c r="A16" s="1" t="str">
        <f>January!F16</f>
        <v>580145</v>
      </c>
      <c r="B16" s="1" t="str">
        <f>January!G16</f>
        <v>01/13/2023</v>
      </c>
      <c r="C16" s="1" t="str">
        <f>January!H16</f>
        <v>11/14/2015</v>
      </c>
      <c r="D16" s="1" t="str">
        <f>January!I16</f>
        <v>Basic</v>
      </c>
      <c r="E16" s="1" t="str">
        <f>January!J16</f>
        <v>Asian</v>
      </c>
    </row>
    <row r="17">
      <c r="A17" s="1" t="str">
        <f>January!F17</f>
        <v>674869</v>
      </c>
      <c r="B17" s="1" t="str">
        <f>January!G17</f>
        <v>01/13/2023</v>
      </c>
      <c r="C17" s="1" t="str">
        <f>January!H17</f>
        <v>6/6/1991</v>
      </c>
      <c r="D17" s="1" t="str">
        <f>January!I17</f>
        <v>Platinum</v>
      </c>
      <c r="E17" s="1" t="str">
        <f>January!J17</f>
        <v>Asian</v>
      </c>
    </row>
    <row r="18">
      <c r="A18" s="1" t="str">
        <f>January!F18</f>
        <v>683051</v>
      </c>
      <c r="B18" s="1" t="str">
        <f>January!G18</f>
        <v>01/13/2023</v>
      </c>
      <c r="C18" s="1" t="str">
        <f>January!H18</f>
        <v>7/8/1957</v>
      </c>
      <c r="D18" s="1" t="str">
        <f>January!I18</f>
        <v>Basic</v>
      </c>
      <c r="E18" s="1" t="str">
        <f>January!J18</f>
        <v>Black</v>
      </c>
    </row>
    <row r="19">
      <c r="A19" s="1" t="str">
        <f>January!F19</f>
        <v>731003</v>
      </c>
      <c r="B19" s="1" t="str">
        <f>January!G19</f>
        <v>01/13/2023</v>
      </c>
      <c r="C19" s="1" t="str">
        <f>January!H19</f>
        <v>9/16/1941</v>
      </c>
      <c r="D19" s="1" t="str">
        <f>January!I19</f>
        <v>Platinum</v>
      </c>
      <c r="E19" s="1" t="str">
        <f>January!J19</f>
        <v>White</v>
      </c>
    </row>
    <row r="20">
      <c r="A20" s="1" t="str">
        <f>January!F20</f>
        <v>176024</v>
      </c>
      <c r="B20" s="1" t="str">
        <f>January!G20</f>
        <v>01/14/2023</v>
      </c>
      <c r="C20" s="1" t="str">
        <f>January!H20</f>
        <v>12/26/1999</v>
      </c>
      <c r="D20" s="1" t="str">
        <f>January!I20</f>
        <v>Gold</v>
      </c>
      <c r="E20" s="1" t="str">
        <f>January!J20</f>
        <v>Other</v>
      </c>
    </row>
    <row r="21">
      <c r="A21" s="1" t="str">
        <f>January!F21</f>
        <v>201696</v>
      </c>
      <c r="B21" s="1" t="str">
        <f>January!G21</f>
        <v>01/14/2023</v>
      </c>
      <c r="C21" s="1" t="str">
        <f>January!H21</f>
        <v>2/5/1996</v>
      </c>
      <c r="D21" s="1" t="str">
        <f>January!I21</f>
        <v>Gold</v>
      </c>
      <c r="E21" s="1" t="str">
        <f>January!J21</f>
        <v>Asian</v>
      </c>
    </row>
    <row r="22">
      <c r="A22" s="1" t="str">
        <f>January!F22</f>
        <v>276875</v>
      </c>
      <c r="B22" s="1" t="str">
        <f>January!G22</f>
        <v>01/14/2023</v>
      </c>
      <c r="C22" s="1" t="str">
        <f>January!H22</f>
        <v>8/27/1989</v>
      </c>
      <c r="D22" s="1" t="str">
        <f>January!I22</f>
        <v>Gold</v>
      </c>
      <c r="E22" s="1" t="str">
        <f>January!J22</f>
        <v>Black</v>
      </c>
    </row>
    <row r="23">
      <c r="A23" s="1" t="str">
        <f>January!F23</f>
        <v>306487</v>
      </c>
      <c r="B23" s="1" t="str">
        <f>January!G23</f>
        <v>01/14/2023</v>
      </c>
      <c r="C23" s="1" t="str">
        <f>January!H23</f>
        <v>6/26/1970</v>
      </c>
      <c r="D23" s="1" t="str">
        <f>January!I23</f>
        <v>Basic</v>
      </c>
      <c r="E23" s="1" t="str">
        <f>January!J23</f>
        <v>Black</v>
      </c>
    </row>
    <row r="24">
      <c r="A24" s="1" t="str">
        <f>January!F24</f>
        <v>483606</v>
      </c>
      <c r="B24" s="1" t="str">
        <f>January!G24</f>
        <v>01/14/2023</v>
      </c>
      <c r="C24" s="1" t="str">
        <f>January!H24</f>
        <v>7/3/1941</v>
      </c>
      <c r="D24" s="1" t="str">
        <f>January!I24</f>
        <v>Platinum</v>
      </c>
      <c r="E24" s="1" t="str">
        <f>January!J24</f>
        <v>Other</v>
      </c>
    </row>
    <row r="25">
      <c r="A25" s="1" t="str">
        <f>January!F25</f>
        <v>119237</v>
      </c>
      <c r="B25" s="1" t="str">
        <f>January!G25</f>
        <v>01/15/2023</v>
      </c>
      <c r="C25" s="1" t="str">
        <f>January!H25</f>
        <v>9/18/2012</v>
      </c>
      <c r="D25" s="1" t="str">
        <f>January!I25</f>
        <v>Platinum</v>
      </c>
      <c r="E25" s="1" t="str">
        <f>January!J25</f>
        <v>Other</v>
      </c>
    </row>
    <row r="26">
      <c r="A26" s="1" t="str">
        <f>January!F26</f>
        <v>568991</v>
      </c>
      <c r="B26" s="1" t="str">
        <f>January!G26</f>
        <v>01/16/2023</v>
      </c>
      <c r="C26" s="1" t="str">
        <f>January!H26</f>
        <v>4/27/1979</v>
      </c>
      <c r="D26" s="1" t="str">
        <f>January!I26</f>
        <v>Gold</v>
      </c>
      <c r="E26" s="1" t="str">
        <f>January!J26</f>
        <v>White</v>
      </c>
    </row>
    <row r="27">
      <c r="A27" s="1" t="str">
        <f>January!F27</f>
        <v>933040</v>
      </c>
      <c r="B27" s="1" t="str">
        <f>January!G27</f>
        <v>01/16/2023</v>
      </c>
      <c r="C27" s="1" t="str">
        <f>January!H27</f>
        <v>12/12/1991</v>
      </c>
      <c r="D27" s="1" t="str">
        <f>January!I27</f>
        <v>Gold</v>
      </c>
      <c r="E27" s="1" t="str">
        <f>January!J27</f>
        <v>Asian</v>
      </c>
    </row>
    <row r="28">
      <c r="A28" s="1" t="str">
        <f>January!F28</f>
        <v>596558</v>
      </c>
      <c r="B28" s="1" t="str">
        <f>January!G28</f>
        <v>01/17/2023</v>
      </c>
      <c r="C28" s="1" t="str">
        <f>January!H28</f>
        <v>3/22/1951</v>
      </c>
      <c r="D28" s="1" t="str">
        <f>January!I28</f>
        <v>Gold</v>
      </c>
      <c r="E28" s="1" t="str">
        <f>January!J28</f>
        <v>Black</v>
      </c>
    </row>
    <row r="29">
      <c r="A29" s="1" t="str">
        <f>January!F29</f>
        <v>596604</v>
      </c>
      <c r="B29" s="1" t="str">
        <f>January!G29</f>
        <v>01/17/2023</v>
      </c>
      <c r="C29" s="1" t="str">
        <f>January!H29</f>
        <v>4/29/2000</v>
      </c>
      <c r="D29" s="1" t="str">
        <f>January!I29</f>
        <v>Gold</v>
      </c>
      <c r="E29" s="1" t="str">
        <f>January!J29</f>
        <v>Asian</v>
      </c>
    </row>
    <row r="30">
      <c r="A30" s="1" t="str">
        <f>January!F30</f>
        <v>888532</v>
      </c>
      <c r="B30" s="1" t="str">
        <f>January!G30</f>
        <v>01/17/2023</v>
      </c>
      <c r="C30" s="1" t="str">
        <f>January!H30</f>
        <v>1/11/2013</v>
      </c>
      <c r="D30" s="1" t="str">
        <f>January!I30</f>
        <v>Gold</v>
      </c>
      <c r="E30" s="1" t="str">
        <f>January!J30</f>
        <v>White</v>
      </c>
    </row>
    <row r="31">
      <c r="A31" s="1" t="str">
        <f>January!F31</f>
        <v>369221</v>
      </c>
      <c r="B31" s="1" t="str">
        <f>January!G31</f>
        <v>01/18/2023</v>
      </c>
      <c r="C31" s="1" t="str">
        <f>January!H31</f>
        <v>3/4/2019</v>
      </c>
      <c r="D31" s="1" t="str">
        <f>January!I31</f>
        <v>Platinum</v>
      </c>
      <c r="E31" s="1" t="str">
        <f>January!J31</f>
        <v>Black</v>
      </c>
    </row>
    <row r="32">
      <c r="A32" s="1" t="str">
        <f>January!F32</f>
        <v>611859</v>
      </c>
      <c r="B32" s="1" t="str">
        <f>January!G32</f>
        <v>01/18/2023</v>
      </c>
      <c r="C32" s="1" t="str">
        <f>January!H32</f>
        <v>12/2/1977</v>
      </c>
      <c r="D32" s="1" t="str">
        <f>January!I32</f>
        <v>Platinum</v>
      </c>
      <c r="E32" s="1" t="str">
        <f>January!J32</f>
        <v>Other</v>
      </c>
    </row>
    <row r="33">
      <c r="A33" s="1" t="str">
        <f>January!F33</f>
        <v>139746</v>
      </c>
      <c r="B33" s="1" t="str">
        <f>January!G33</f>
        <v>01/19/2023</v>
      </c>
      <c r="C33" s="1" t="str">
        <f>January!H33</f>
        <v>2/27/1948</v>
      </c>
      <c r="D33" s="1" t="str">
        <f>January!I33</f>
        <v>Gold</v>
      </c>
      <c r="E33" s="1" t="str">
        <f>January!J33</f>
        <v>Black</v>
      </c>
    </row>
    <row r="34">
      <c r="A34" s="1" t="str">
        <f>January!F34</f>
        <v>472457</v>
      </c>
      <c r="B34" s="1" t="str">
        <f>January!G34</f>
        <v>01/19/2023</v>
      </c>
      <c r="C34" s="1" t="str">
        <f>January!H34</f>
        <v>1/30/1991</v>
      </c>
      <c r="D34" s="1" t="str">
        <f>January!I34</f>
        <v>Gold</v>
      </c>
      <c r="E34" s="1" t="str">
        <f>January!J34</f>
        <v>Black</v>
      </c>
    </row>
    <row r="35">
      <c r="A35" s="1" t="str">
        <f>January!F35</f>
        <v>673141</v>
      </c>
      <c r="B35" s="1" t="str">
        <f>January!G35</f>
        <v>01/19/2023</v>
      </c>
      <c r="C35" s="1" t="str">
        <f>January!H35</f>
        <v>12/30/1955</v>
      </c>
      <c r="D35" s="1" t="str">
        <f>January!I35</f>
        <v>Gold</v>
      </c>
      <c r="E35" s="1" t="str">
        <f>January!J35</f>
        <v>White</v>
      </c>
    </row>
    <row r="36">
      <c r="A36" s="1" t="str">
        <f>January!F36</f>
        <v>742071</v>
      </c>
      <c r="B36" s="1" t="str">
        <f>January!G36</f>
        <v>01/19/2023</v>
      </c>
      <c r="C36" s="1" t="str">
        <f>January!H36</f>
        <v>9/22/1968</v>
      </c>
      <c r="D36" s="1" t="str">
        <f>January!I36</f>
        <v>Platinum</v>
      </c>
      <c r="E36" s="1" t="str">
        <f>January!J36</f>
        <v>White</v>
      </c>
    </row>
    <row r="37">
      <c r="A37" s="1" t="str">
        <f>January!F37</f>
        <v>471554</v>
      </c>
      <c r="B37" s="1" t="str">
        <f>January!G37</f>
        <v>01/2/2023</v>
      </c>
      <c r="C37" s="1" t="str">
        <f>January!H37</f>
        <v>4/22/1990</v>
      </c>
      <c r="D37" s="1" t="str">
        <f>January!I37</f>
        <v>Basic</v>
      </c>
      <c r="E37" s="1" t="str">
        <f>January!J37</f>
        <v>White</v>
      </c>
    </row>
    <row r="38">
      <c r="A38" s="1" t="str">
        <f>January!F38</f>
        <v>527712</v>
      </c>
      <c r="B38" s="1" t="str">
        <f>January!G38</f>
        <v>01/2/2023</v>
      </c>
      <c r="C38" s="1" t="str">
        <f>January!H38</f>
        <v>9/27/1996</v>
      </c>
      <c r="D38" s="1" t="str">
        <f>January!I38</f>
        <v>Platinum</v>
      </c>
      <c r="E38" s="1" t="str">
        <f>January!J38</f>
        <v>White</v>
      </c>
    </row>
    <row r="39">
      <c r="A39" s="1" t="str">
        <f>January!F39</f>
        <v>761244</v>
      </c>
      <c r="B39" s="1" t="str">
        <f>January!G39</f>
        <v>01/2/2023</v>
      </c>
      <c r="C39" s="1" t="str">
        <f>January!H39</f>
        <v>12/26/1942</v>
      </c>
      <c r="D39" s="1" t="str">
        <f>January!I39</f>
        <v>Platinum</v>
      </c>
      <c r="E39" s="1" t="str">
        <f>January!J39</f>
        <v>White</v>
      </c>
    </row>
    <row r="40">
      <c r="A40" s="1" t="str">
        <f>January!F40</f>
        <v>845293</v>
      </c>
      <c r="B40" s="1" t="str">
        <f>January!G40</f>
        <v>01/2/2023</v>
      </c>
      <c r="C40" s="1" t="str">
        <f>January!H40</f>
        <v>5/28/1946</v>
      </c>
      <c r="D40" s="1" t="str">
        <f>January!I40</f>
        <v>Platinum</v>
      </c>
      <c r="E40" s="1" t="str">
        <f>January!J40</f>
        <v>Black</v>
      </c>
    </row>
    <row r="41">
      <c r="A41" s="1" t="str">
        <f>January!F41</f>
        <v>871764</v>
      </c>
      <c r="B41" s="1" t="str">
        <f>January!G41</f>
        <v>01/2/2023</v>
      </c>
      <c r="C41" s="1" t="str">
        <f>January!H41</f>
        <v>10/29/1967</v>
      </c>
      <c r="D41" s="1" t="str">
        <f>January!I41</f>
        <v>Gold</v>
      </c>
      <c r="E41" s="1" t="str">
        <f>January!J41</f>
        <v>White</v>
      </c>
    </row>
    <row r="42">
      <c r="A42" s="1" t="str">
        <f>January!F42</f>
        <v>189787</v>
      </c>
      <c r="B42" s="1" t="str">
        <f>January!G42</f>
        <v>01/20/2023</v>
      </c>
      <c r="C42" s="1" t="str">
        <f>January!H42</f>
        <v>5/12/1986</v>
      </c>
      <c r="D42" s="1" t="str">
        <f>January!I42</f>
        <v>Basic</v>
      </c>
      <c r="E42" s="1" t="str">
        <f>January!J42</f>
        <v>Black</v>
      </c>
    </row>
    <row r="43">
      <c r="A43" s="1" t="str">
        <f>January!F43</f>
        <v>733667</v>
      </c>
      <c r="B43" s="1" t="str">
        <f>January!G43</f>
        <v>01/20/2023</v>
      </c>
      <c r="C43" s="1" t="str">
        <f>January!H43</f>
        <v>11/15/1944</v>
      </c>
      <c r="D43" s="1" t="str">
        <f>January!I43</f>
        <v>Platinum</v>
      </c>
      <c r="E43" s="1" t="str">
        <f>January!J43</f>
        <v>Black</v>
      </c>
    </row>
    <row r="44">
      <c r="A44" s="1" t="str">
        <f>January!F44</f>
        <v>813344</v>
      </c>
      <c r="B44" s="1" t="str">
        <f>January!G44</f>
        <v>01/20/2023</v>
      </c>
      <c r="C44" s="1" t="str">
        <f>January!H44</f>
        <v>11/4/1966</v>
      </c>
      <c r="D44" s="1" t="str">
        <f>January!I44</f>
        <v>Gold</v>
      </c>
      <c r="E44" s="1" t="str">
        <f>January!J44</f>
        <v>White</v>
      </c>
    </row>
    <row r="45">
      <c r="A45" s="1" t="str">
        <f>January!F45</f>
        <v>102704</v>
      </c>
      <c r="B45" s="1" t="str">
        <f>January!G45</f>
        <v>01/23/2023</v>
      </c>
      <c r="C45" s="1" t="str">
        <f>January!H45</f>
        <v>3/9/2000</v>
      </c>
      <c r="D45" s="1" t="str">
        <f>January!I45</f>
        <v>Basic</v>
      </c>
      <c r="E45" s="1" t="str">
        <f>January!J45</f>
        <v>Black</v>
      </c>
    </row>
    <row r="46">
      <c r="A46" s="1" t="str">
        <f>January!F46</f>
        <v>548577</v>
      </c>
      <c r="B46" s="1" t="str">
        <f>January!G46</f>
        <v>01/23/2023</v>
      </c>
      <c r="C46" s="1" t="str">
        <f>January!H46</f>
        <v>5/9/1962</v>
      </c>
      <c r="D46" s="1" t="str">
        <f>January!I46</f>
        <v>Basic</v>
      </c>
      <c r="E46" s="1" t="str">
        <f>January!J46</f>
        <v>White</v>
      </c>
    </row>
    <row r="47">
      <c r="A47" s="1" t="str">
        <f>January!F47</f>
        <v>591154</v>
      </c>
      <c r="B47" s="1" t="str">
        <f>January!G47</f>
        <v>01/23/2023</v>
      </c>
      <c r="C47" s="1" t="str">
        <f>January!H47</f>
        <v>12/1/2002</v>
      </c>
      <c r="D47" s="1" t="str">
        <f>January!I47</f>
        <v>Basic</v>
      </c>
      <c r="E47" s="1" t="str">
        <f>January!J47</f>
        <v>Black</v>
      </c>
    </row>
    <row r="48">
      <c r="A48" s="1" t="str">
        <f>January!F48</f>
        <v>850402</v>
      </c>
      <c r="B48" s="1" t="str">
        <f>January!G48</f>
        <v>01/23/2023</v>
      </c>
      <c r="C48" s="1" t="str">
        <f>January!H48</f>
        <v>9/17/1991</v>
      </c>
      <c r="D48" s="1" t="str">
        <f>January!I48</f>
        <v>Gold</v>
      </c>
      <c r="E48" s="1" t="str">
        <f>January!J48</f>
        <v>Other</v>
      </c>
    </row>
    <row r="49">
      <c r="A49" s="1" t="str">
        <f>January!F49</f>
        <v>785116</v>
      </c>
      <c r="B49" s="1" t="str">
        <f>January!G49</f>
        <v>01/24/2023</v>
      </c>
      <c r="C49" s="1" t="str">
        <f>January!H49</f>
        <v>11/25/1957</v>
      </c>
      <c r="D49" s="1" t="str">
        <f>January!I49</f>
        <v>Gold</v>
      </c>
      <c r="E49" s="1" t="str">
        <f>January!J49</f>
        <v>White</v>
      </c>
    </row>
    <row r="50">
      <c r="A50" s="1" t="str">
        <f>January!F50</f>
        <v>943375</v>
      </c>
      <c r="B50" s="1" t="str">
        <f>January!G50</f>
        <v>01/24/2023</v>
      </c>
      <c r="C50" s="1" t="str">
        <f>January!H50</f>
        <v>7/26/1958</v>
      </c>
      <c r="D50" s="1" t="str">
        <f>January!I50</f>
        <v>Platinum</v>
      </c>
      <c r="E50" s="1" t="str">
        <f>January!J50</f>
        <v>Other</v>
      </c>
    </row>
    <row r="51">
      <c r="A51" s="1" t="str">
        <f>January!F51</f>
        <v>467914</v>
      </c>
      <c r="B51" s="1" t="str">
        <f>January!G51</f>
        <v>01/25/2023</v>
      </c>
      <c r="C51" s="1" t="str">
        <f>January!H51</f>
        <v>2/25/1990</v>
      </c>
      <c r="D51" s="1" t="str">
        <f>January!I51</f>
        <v>Gold</v>
      </c>
      <c r="E51" s="1" t="str">
        <f>January!J51</f>
        <v>Asian</v>
      </c>
    </row>
    <row r="52">
      <c r="A52" s="1" t="str">
        <f>January!F52</f>
        <v>714800</v>
      </c>
      <c r="B52" s="1" t="str">
        <f>January!G52</f>
        <v>01/26/2023</v>
      </c>
      <c r="C52" s="1" t="str">
        <f>January!H52</f>
        <v>6/25/1974</v>
      </c>
      <c r="D52" s="1" t="str">
        <f>January!I52</f>
        <v>Basic</v>
      </c>
      <c r="E52" s="1" t="str">
        <f>January!J52</f>
        <v>Asian</v>
      </c>
    </row>
    <row r="53">
      <c r="A53" s="1" t="str">
        <f>January!F53</f>
        <v>960368</v>
      </c>
      <c r="B53" s="1" t="str">
        <f>January!G53</f>
        <v>01/26/2023</v>
      </c>
      <c r="C53" s="1" t="str">
        <f>January!H53</f>
        <v>9/5/1997</v>
      </c>
      <c r="D53" s="1" t="str">
        <f>January!I53</f>
        <v>Platinum</v>
      </c>
      <c r="E53" s="1" t="str">
        <f>January!J53</f>
        <v>Asian</v>
      </c>
    </row>
    <row r="54">
      <c r="A54" s="1" t="str">
        <f>January!F54</f>
        <v>554004</v>
      </c>
      <c r="B54" s="1" t="str">
        <f>January!G54</f>
        <v>01/27/2023</v>
      </c>
      <c r="C54" s="1" t="str">
        <f>January!H54</f>
        <v>7/20/1997</v>
      </c>
      <c r="D54" s="1" t="str">
        <f>January!I54</f>
        <v>Gold</v>
      </c>
      <c r="E54" s="1" t="str">
        <f>January!J54</f>
        <v>Asian</v>
      </c>
    </row>
    <row r="55">
      <c r="A55" s="1" t="str">
        <f>January!F55</f>
        <v>626975</v>
      </c>
      <c r="B55" s="1" t="str">
        <f>January!G55</f>
        <v>01/27/2023</v>
      </c>
      <c r="C55" s="1" t="str">
        <f>January!H55</f>
        <v>10/4/1948</v>
      </c>
      <c r="D55" s="1" t="str">
        <f>January!I55</f>
        <v>Basic</v>
      </c>
      <c r="E55" s="1" t="str">
        <f>January!J55</f>
        <v>Black</v>
      </c>
    </row>
    <row r="56">
      <c r="A56" s="1" t="str">
        <f>January!F56</f>
        <v>691378</v>
      </c>
      <c r="B56" s="1" t="str">
        <f>January!G56</f>
        <v>01/27/2023</v>
      </c>
      <c r="C56" s="1" t="str">
        <f>January!H56</f>
        <v>12/7/1979</v>
      </c>
      <c r="D56" s="1" t="str">
        <f>January!I56</f>
        <v>Basic</v>
      </c>
      <c r="E56" s="1" t="str">
        <f>January!J56</f>
        <v>Other</v>
      </c>
    </row>
    <row r="57">
      <c r="A57" s="1" t="str">
        <f>January!F57</f>
        <v>772826</v>
      </c>
      <c r="B57" s="1" t="str">
        <f>January!G57</f>
        <v>01/28/2023</v>
      </c>
      <c r="C57" s="1" t="str">
        <f>January!H57</f>
        <v>8/29/1978</v>
      </c>
      <c r="D57" s="1" t="str">
        <f>January!I57</f>
        <v>Basic</v>
      </c>
      <c r="E57" s="1" t="str">
        <f>January!J57</f>
        <v>White</v>
      </c>
    </row>
    <row r="58">
      <c r="A58" s="1" t="str">
        <f>January!F58</f>
        <v>806804</v>
      </c>
      <c r="B58" s="1" t="str">
        <f>January!G58</f>
        <v>01/28/2023</v>
      </c>
      <c r="C58" s="1" t="str">
        <f>January!H58</f>
        <v>10/5/1948</v>
      </c>
      <c r="D58" s="1" t="str">
        <f>January!I58</f>
        <v>Basic</v>
      </c>
      <c r="E58" s="1" t="str">
        <f>January!J58</f>
        <v>Other</v>
      </c>
    </row>
    <row r="59">
      <c r="A59" s="1" t="str">
        <f>January!F59</f>
        <v>612794</v>
      </c>
      <c r="B59" s="1" t="str">
        <f>January!G59</f>
        <v>01/29/2023</v>
      </c>
      <c r="C59" s="1" t="str">
        <f>January!H59</f>
        <v>11/12/1981</v>
      </c>
      <c r="D59" s="1" t="str">
        <f>January!I59</f>
        <v>Basic</v>
      </c>
      <c r="E59" s="1" t="str">
        <f>January!J59</f>
        <v>Asian</v>
      </c>
    </row>
    <row r="60">
      <c r="A60" s="1" t="str">
        <f>January!F60</f>
        <v>784685</v>
      </c>
      <c r="B60" s="1" t="str">
        <f>January!G60</f>
        <v>01/29/2023</v>
      </c>
      <c r="C60" s="1" t="str">
        <f>January!H60</f>
        <v>6/17/1968</v>
      </c>
      <c r="D60" s="1" t="str">
        <f>January!I60</f>
        <v>Platinum</v>
      </c>
      <c r="E60" s="1" t="str">
        <f>January!J60</f>
        <v>White</v>
      </c>
    </row>
    <row r="61">
      <c r="A61" s="1" t="str">
        <f>January!F61</f>
        <v>806648</v>
      </c>
      <c r="B61" s="1" t="str">
        <f>January!G61</f>
        <v>01/29/2023</v>
      </c>
      <c r="C61" s="1" t="str">
        <f>January!H61</f>
        <v>8/20/1986</v>
      </c>
      <c r="D61" s="1" t="str">
        <f>January!I61</f>
        <v>Platinum</v>
      </c>
      <c r="E61" s="1" t="str">
        <f>January!J61</f>
        <v>Other</v>
      </c>
    </row>
    <row r="62">
      <c r="A62" s="1" t="str">
        <f>January!F62</f>
        <v>957631</v>
      </c>
      <c r="B62" s="1" t="str">
        <f>January!G62</f>
        <v>01/29/2023</v>
      </c>
      <c r="C62" s="1" t="str">
        <f>January!H62</f>
        <v>6/19/1956</v>
      </c>
      <c r="D62" s="1" t="str">
        <f>January!I62</f>
        <v>Basic</v>
      </c>
      <c r="E62" s="1" t="str">
        <f>January!J62</f>
        <v>Black</v>
      </c>
    </row>
    <row r="63">
      <c r="A63" s="1" t="str">
        <f>January!F63</f>
        <v>349505</v>
      </c>
      <c r="B63" s="1" t="str">
        <f>January!G63</f>
        <v>01/3/2023</v>
      </c>
      <c r="C63" s="1" t="str">
        <f>January!H63</f>
        <v>9/13/1961</v>
      </c>
      <c r="D63" s="1" t="str">
        <f>January!I63</f>
        <v>Basic</v>
      </c>
      <c r="E63" s="1" t="str">
        <f>January!J63</f>
        <v>White</v>
      </c>
    </row>
    <row r="64">
      <c r="A64" s="1" t="str">
        <f>January!F64</f>
        <v>490910</v>
      </c>
      <c r="B64" s="1" t="str">
        <f>January!G64</f>
        <v>01/3/2023</v>
      </c>
      <c r="C64" s="1" t="str">
        <f>January!H64</f>
        <v>5/23/1981</v>
      </c>
      <c r="D64" s="1" t="str">
        <f>January!I64</f>
        <v>Basic</v>
      </c>
      <c r="E64" s="1" t="str">
        <f>January!J64</f>
        <v>White</v>
      </c>
    </row>
    <row r="65">
      <c r="A65" s="1" t="str">
        <f>January!F65</f>
        <v>754791</v>
      </c>
      <c r="B65" s="1" t="str">
        <f>January!G65</f>
        <v>01/3/2023</v>
      </c>
      <c r="C65" s="1" t="str">
        <f>January!H65</f>
        <v>7/17/1952</v>
      </c>
      <c r="D65" s="1" t="str">
        <f>January!I65</f>
        <v>Basic</v>
      </c>
      <c r="E65" s="1" t="str">
        <f>January!J65</f>
        <v>Other</v>
      </c>
    </row>
    <row r="66">
      <c r="A66" s="1" t="str">
        <f>January!F66</f>
        <v>711747</v>
      </c>
      <c r="B66" s="1" t="str">
        <f>January!G66</f>
        <v>01/30/2023</v>
      </c>
      <c r="C66" s="1" t="str">
        <f>January!H66</f>
        <v>9/28/1940</v>
      </c>
      <c r="D66" s="1" t="str">
        <f>January!I66</f>
        <v>Gold</v>
      </c>
      <c r="E66" s="1" t="str">
        <f>January!J66</f>
        <v>White</v>
      </c>
    </row>
    <row r="67">
      <c r="A67" s="1" t="str">
        <f>January!F67</f>
        <v>721471</v>
      </c>
      <c r="B67" s="1" t="str">
        <f>January!G67</f>
        <v>01/31/2023</v>
      </c>
      <c r="C67" s="1" t="str">
        <f>January!H67</f>
        <v>8/17/1985</v>
      </c>
      <c r="D67" s="1" t="str">
        <f>January!I67</f>
        <v>Platinum</v>
      </c>
      <c r="E67" s="1" t="str">
        <f>January!J67</f>
        <v>Other</v>
      </c>
    </row>
    <row r="68">
      <c r="A68" s="1" t="str">
        <f>January!F68</f>
        <v>777515</v>
      </c>
      <c r="B68" s="1" t="str">
        <f>January!G68</f>
        <v>01/31/2023</v>
      </c>
      <c r="C68" s="1" t="str">
        <f>January!H68</f>
        <v>4/3/1989</v>
      </c>
      <c r="D68" s="1" t="str">
        <f>January!I68</f>
        <v>Basic</v>
      </c>
      <c r="E68" s="1" t="str">
        <f>January!J68</f>
        <v>White</v>
      </c>
    </row>
    <row r="69">
      <c r="A69" s="1" t="str">
        <f>January!F69</f>
        <v>801438</v>
      </c>
      <c r="B69" s="1" t="str">
        <f>January!G69</f>
        <v>01/31/2023</v>
      </c>
      <c r="C69" s="1" t="str">
        <f>January!H69</f>
        <v>6/20/1950</v>
      </c>
      <c r="D69" s="1" t="str">
        <f>January!I69</f>
        <v>Basic</v>
      </c>
      <c r="E69" s="1" t="str">
        <f>January!J69</f>
        <v>Asian</v>
      </c>
    </row>
    <row r="70">
      <c r="A70" s="1" t="str">
        <f>January!F70</f>
        <v>223982</v>
      </c>
      <c r="B70" s="1" t="str">
        <f>January!G70</f>
        <v>01/4/2023</v>
      </c>
      <c r="C70" s="1" t="str">
        <f>January!H70</f>
        <v>8/12/1956</v>
      </c>
      <c r="D70" s="1" t="str">
        <f>January!I70</f>
        <v>Gold</v>
      </c>
      <c r="E70" s="1" t="str">
        <f>January!J70</f>
        <v>White</v>
      </c>
    </row>
    <row r="71">
      <c r="A71" s="1" t="str">
        <f>January!F71</f>
        <v>246208</v>
      </c>
      <c r="B71" s="1" t="str">
        <f>January!G71</f>
        <v>01/4/2023</v>
      </c>
      <c r="C71" s="1" t="str">
        <f>January!H71</f>
        <v>9/11/1996</v>
      </c>
      <c r="D71" s="1" t="str">
        <f>January!I71</f>
        <v>Platinum</v>
      </c>
      <c r="E71" s="1" t="str">
        <f>January!J71</f>
        <v>White</v>
      </c>
    </row>
    <row r="72">
      <c r="A72" s="1" t="str">
        <f>January!F72</f>
        <v>311919</v>
      </c>
      <c r="B72" s="1" t="str">
        <f>January!G72</f>
        <v>01/4/2023</v>
      </c>
      <c r="C72" s="1" t="str">
        <f>January!H72</f>
        <v>6/26/1961</v>
      </c>
      <c r="D72" s="1" t="str">
        <f>January!I72</f>
        <v>Gold</v>
      </c>
      <c r="E72" s="1" t="str">
        <f>January!J72</f>
        <v>Other</v>
      </c>
    </row>
    <row r="73">
      <c r="A73" s="1" t="str">
        <f>January!F73</f>
        <v>604893</v>
      </c>
      <c r="B73" s="1" t="str">
        <f>January!G73</f>
        <v>01/4/2023</v>
      </c>
      <c r="C73" s="1" t="str">
        <f>January!H73</f>
        <v>11/10/1959</v>
      </c>
      <c r="D73" s="1" t="str">
        <f>January!I73</f>
        <v>Platinum</v>
      </c>
      <c r="E73" s="1" t="str">
        <f>January!J73</f>
        <v>White</v>
      </c>
    </row>
    <row r="74">
      <c r="A74" s="1" t="str">
        <f>January!F74</f>
        <v>920752</v>
      </c>
      <c r="B74" s="1" t="str">
        <f>January!G74</f>
        <v>01/4/2023</v>
      </c>
      <c r="C74" s="1" t="str">
        <f>January!H74</f>
        <v>9/1/1990</v>
      </c>
      <c r="D74" s="1" t="str">
        <f>January!I74</f>
        <v>Gold</v>
      </c>
      <c r="E74" s="1" t="str">
        <f>January!J74</f>
        <v>White</v>
      </c>
    </row>
    <row r="75">
      <c r="A75" s="1" t="str">
        <f>January!F75</f>
        <v>314042</v>
      </c>
      <c r="B75" s="1" t="str">
        <f>January!G75</f>
        <v>01/5/2023</v>
      </c>
      <c r="C75" s="1" t="str">
        <f>January!H75</f>
        <v>12/26/1986</v>
      </c>
      <c r="D75" s="1" t="str">
        <f>January!I75</f>
        <v>Platinum</v>
      </c>
      <c r="E75" s="1" t="str">
        <f>January!J75</f>
        <v>Asian</v>
      </c>
    </row>
    <row r="76">
      <c r="A76" s="1" t="str">
        <f>January!F76</f>
        <v>806747</v>
      </c>
      <c r="B76" s="1" t="str">
        <f>January!G76</f>
        <v>01/5/2023</v>
      </c>
      <c r="C76" s="1" t="str">
        <f>January!H76</f>
        <v>5/31/2007</v>
      </c>
      <c r="D76" s="1" t="str">
        <f>January!I76</f>
        <v>Basic</v>
      </c>
      <c r="E76" s="1" t="str">
        <f>January!J76</f>
        <v>Other</v>
      </c>
    </row>
    <row r="77">
      <c r="A77" s="1" t="str">
        <f>January!F77</f>
        <v>829199</v>
      </c>
      <c r="B77" s="1" t="str">
        <f>January!G77</f>
        <v>01/5/2023</v>
      </c>
      <c r="C77" s="1" t="str">
        <f>January!H77</f>
        <v>1/25/1978</v>
      </c>
      <c r="D77" s="1" t="str">
        <f>January!I77</f>
        <v>Basic</v>
      </c>
      <c r="E77" s="1" t="str">
        <f>January!J77</f>
        <v>Other</v>
      </c>
    </row>
    <row r="78">
      <c r="A78" s="1" t="str">
        <f>January!F78</f>
        <v>899966</v>
      </c>
      <c r="B78" s="1" t="str">
        <f>January!G78</f>
        <v>01/5/2023</v>
      </c>
      <c r="C78" s="1" t="str">
        <f>January!H78</f>
        <v>2/13/2015</v>
      </c>
      <c r="D78" s="1" t="str">
        <f>January!I78</f>
        <v>Gold</v>
      </c>
      <c r="E78" s="1" t="str">
        <f>January!J78</f>
        <v>White</v>
      </c>
    </row>
    <row r="79">
      <c r="A79" s="1" t="str">
        <f>January!F79</f>
        <v>929308</v>
      </c>
      <c r="B79" s="1" t="str">
        <f>January!G79</f>
        <v>01/5/2023</v>
      </c>
      <c r="C79" s="1" t="str">
        <f>January!H79</f>
        <v>10/19/2004</v>
      </c>
      <c r="D79" s="1" t="str">
        <f>January!I79</f>
        <v>Basic</v>
      </c>
      <c r="E79" s="1" t="str">
        <f>January!J79</f>
        <v>Other</v>
      </c>
    </row>
    <row r="80">
      <c r="A80" s="1" t="str">
        <f>January!F80</f>
        <v>809513</v>
      </c>
      <c r="B80" s="1" t="str">
        <f>January!G80</f>
        <v>01/6/2023</v>
      </c>
      <c r="C80" s="1" t="str">
        <f>January!H80</f>
        <v>1/1/1951</v>
      </c>
      <c r="D80" s="1" t="str">
        <f>January!I80</f>
        <v>Basic</v>
      </c>
      <c r="E80" s="1" t="str">
        <f>January!J80</f>
        <v>Black</v>
      </c>
    </row>
    <row r="81">
      <c r="A81" s="1" t="str">
        <f>January!F81</f>
        <v>840464</v>
      </c>
      <c r="B81" s="1" t="str">
        <f>January!G81</f>
        <v>01/6/2023</v>
      </c>
      <c r="C81" s="1" t="str">
        <f>January!H81</f>
        <v>7/18/1968</v>
      </c>
      <c r="D81" s="1" t="str">
        <f>January!I81</f>
        <v>Gold</v>
      </c>
      <c r="E81" s="1" t="str">
        <f>January!J81</f>
        <v>Asian</v>
      </c>
    </row>
    <row r="82">
      <c r="A82" s="1" t="str">
        <f>January!F82</f>
        <v>543545</v>
      </c>
      <c r="B82" s="1" t="str">
        <f>January!G82</f>
        <v>01/8/2023</v>
      </c>
      <c r="C82" s="1" t="str">
        <f>January!H82</f>
        <v>8/30/1986</v>
      </c>
      <c r="D82" s="1" t="str">
        <f>January!I82</f>
        <v>Basic</v>
      </c>
      <c r="E82" s="1" t="str">
        <f>January!J82</f>
        <v>Asian</v>
      </c>
    </row>
    <row r="83">
      <c r="A83" s="1" t="str">
        <f>January!F83</f>
        <v>191607</v>
      </c>
      <c r="B83" s="1" t="str">
        <f>January!G83</f>
        <v>01/9/2023</v>
      </c>
      <c r="C83" s="1" t="str">
        <f>January!H83</f>
        <v>3/15/1963</v>
      </c>
      <c r="D83" s="1" t="str">
        <f>January!I83</f>
        <v>Gold</v>
      </c>
      <c r="E83" s="1" t="str">
        <f>January!J83</f>
        <v>White</v>
      </c>
    </row>
    <row r="84">
      <c r="A84" s="1" t="str">
        <f>January!F84</f>
        <v>602662</v>
      </c>
      <c r="B84" s="1" t="str">
        <f>January!G84</f>
        <v>01/9/2023</v>
      </c>
      <c r="C84" s="1" t="str">
        <f>January!H84</f>
        <v>3/7/1958</v>
      </c>
      <c r="D84" s="1" t="str">
        <f>January!I84</f>
        <v>Basic</v>
      </c>
      <c r="E84" s="1" t="str">
        <f>January!J84</f>
        <v>Other</v>
      </c>
    </row>
    <row r="85">
      <c r="A85" s="1" t="str">
        <f>February!F2</f>
        <v>473692</v>
      </c>
      <c r="B85" s="1" t="str">
        <f>February!G2</f>
        <v>02/20/2023</v>
      </c>
      <c r="C85" s="1" t="str">
        <f>February!H2</f>
        <v>3/23/2012</v>
      </c>
      <c r="D85" s="1" t="str">
        <f>February!I2</f>
        <v>Basic</v>
      </c>
      <c r="E85" s="1" t="str">
        <f>February!J2</f>
        <v>White</v>
      </c>
    </row>
    <row r="86">
      <c r="A86" s="1" t="str">
        <f>February!F3</f>
        <v>150853</v>
      </c>
      <c r="B86" s="1" t="str">
        <f>February!G3</f>
        <v>02/5/2023</v>
      </c>
      <c r="C86" s="1" t="str">
        <f>February!H3</f>
        <v>7/9/1991</v>
      </c>
      <c r="D86" s="1" t="str">
        <f>February!I3</f>
        <v>Basic</v>
      </c>
      <c r="E86" s="1" t="str">
        <f>February!J3</f>
        <v>Other</v>
      </c>
    </row>
    <row r="87">
      <c r="A87" s="1" t="str">
        <f>February!F4</f>
        <v>627428</v>
      </c>
      <c r="B87" s="1" t="str">
        <f>February!G4</f>
        <v>02/1/2023</v>
      </c>
      <c r="C87" s="1" t="str">
        <f>February!H4</f>
        <v>11/5/2018</v>
      </c>
      <c r="D87" s="1" t="str">
        <f>February!I4</f>
        <v>Platinum</v>
      </c>
      <c r="E87" s="1" t="str">
        <f>February!J4</f>
        <v>White</v>
      </c>
    </row>
    <row r="88">
      <c r="A88" s="1" t="str">
        <f>February!F5</f>
        <v>606864</v>
      </c>
      <c r="B88" s="1" t="str">
        <f>February!G5</f>
        <v>02/8/2023</v>
      </c>
      <c r="C88" s="1" t="str">
        <f>February!H5</f>
        <v>10/5/1945</v>
      </c>
      <c r="D88" s="1" t="str">
        <f>February!I5</f>
        <v>Platinum</v>
      </c>
      <c r="E88" s="1" t="str">
        <f>February!J5</f>
        <v>Other</v>
      </c>
    </row>
    <row r="89">
      <c r="A89" s="1" t="str">
        <f>February!F6</f>
        <v>664634</v>
      </c>
      <c r="B89" s="1" t="str">
        <f>February!G6</f>
        <v>02/6/2023</v>
      </c>
      <c r="C89" s="1" t="str">
        <f>February!H6</f>
        <v>3/5/1952</v>
      </c>
      <c r="D89" s="1" t="str">
        <f>February!I6</f>
        <v>Basic</v>
      </c>
      <c r="E89" s="1" t="str">
        <f>February!J6</f>
        <v>Black</v>
      </c>
    </row>
    <row r="90">
      <c r="A90" s="1" t="str">
        <f>February!F7</f>
        <v>315439</v>
      </c>
      <c r="B90" s="1" t="str">
        <f>February!G7</f>
        <v>02/9/2023</v>
      </c>
      <c r="C90" s="1" t="str">
        <f>February!H7</f>
        <v>5/23/1999</v>
      </c>
      <c r="D90" s="1" t="str">
        <f>February!I7</f>
        <v>Basic</v>
      </c>
      <c r="E90" s="1" t="str">
        <f>February!J7</f>
        <v>White</v>
      </c>
    </row>
    <row r="91">
      <c r="A91" s="1" t="str">
        <f>February!F8</f>
        <v>712911</v>
      </c>
      <c r="B91" s="1" t="str">
        <f>February!G8</f>
        <v>02/18/2023</v>
      </c>
      <c r="C91" s="1" t="str">
        <f>February!H8</f>
        <v>6/5/1943</v>
      </c>
      <c r="D91" s="1" t="str">
        <f>February!I8</f>
        <v>Gold</v>
      </c>
      <c r="E91" s="1" t="str">
        <f>February!J8</f>
        <v>Other</v>
      </c>
    </row>
    <row r="92">
      <c r="A92" s="1" t="str">
        <f>February!F9</f>
        <v>478020</v>
      </c>
      <c r="B92" s="1" t="str">
        <f>February!G9</f>
        <v>02/27/2023</v>
      </c>
      <c r="C92" s="1" t="str">
        <f>February!H9</f>
        <v>5/16/1987</v>
      </c>
      <c r="D92" s="1" t="str">
        <f>February!I9</f>
        <v>Gold</v>
      </c>
      <c r="E92" s="1" t="str">
        <f>February!J9</f>
        <v>Black</v>
      </c>
    </row>
    <row r="93">
      <c r="A93" s="1" t="str">
        <f>February!F10</f>
        <v>366334</v>
      </c>
      <c r="B93" s="1" t="str">
        <f>February!G10</f>
        <v>02/5/2023</v>
      </c>
      <c r="C93" s="1" t="str">
        <f>February!H10</f>
        <v>10/15/1996</v>
      </c>
      <c r="D93" s="1" t="str">
        <f>February!I10</f>
        <v>Platinum</v>
      </c>
      <c r="E93" s="1" t="str">
        <f>February!J10</f>
        <v>Other</v>
      </c>
    </row>
    <row r="94">
      <c r="A94" s="1" t="str">
        <f>February!F11</f>
        <v>978930</v>
      </c>
      <c r="B94" s="1" t="str">
        <f>February!G11</f>
        <v>02/25/2023</v>
      </c>
      <c r="C94" s="1" t="str">
        <f>February!H11</f>
        <v>3/27/2016</v>
      </c>
      <c r="D94" s="1" t="str">
        <f>February!I11</f>
        <v>Basic</v>
      </c>
      <c r="E94" s="1" t="str">
        <f>February!J11</f>
        <v>Asian</v>
      </c>
    </row>
    <row r="95">
      <c r="A95" s="1" t="str">
        <f>February!F12</f>
        <v>898177</v>
      </c>
      <c r="B95" s="1" t="str">
        <f>February!G12</f>
        <v>02/28/2023</v>
      </c>
      <c r="C95" s="1" t="str">
        <f>February!H12</f>
        <v>10/13/1975</v>
      </c>
      <c r="D95" s="1" t="str">
        <f>February!I12</f>
        <v>Platinum</v>
      </c>
      <c r="E95" s="1" t="str">
        <f>February!J12</f>
        <v>Asian</v>
      </c>
    </row>
    <row r="96">
      <c r="A96" s="1" t="str">
        <f>February!F13</f>
        <v>938610</v>
      </c>
      <c r="B96" s="1" t="str">
        <f>February!G13</f>
        <v>02/14/2023</v>
      </c>
      <c r="C96" s="1" t="str">
        <f>February!H13</f>
        <v>11/18/2006</v>
      </c>
      <c r="D96" s="1" t="str">
        <f>February!I13</f>
        <v>Platinum</v>
      </c>
      <c r="E96" s="1" t="str">
        <f>February!J13</f>
        <v>Other</v>
      </c>
    </row>
    <row r="97">
      <c r="A97" s="1" t="str">
        <f>February!F14</f>
        <v>624601</v>
      </c>
      <c r="B97" s="1" t="str">
        <f>February!G14</f>
        <v>02/18/2023</v>
      </c>
      <c r="C97" s="1" t="str">
        <f>February!H14</f>
        <v>4/20/1991</v>
      </c>
      <c r="D97" s="1" t="str">
        <f>February!I14</f>
        <v>Gold</v>
      </c>
      <c r="E97" s="1" t="str">
        <f>February!J14</f>
        <v>Other</v>
      </c>
    </row>
    <row r="98">
      <c r="A98" s="1" t="str">
        <f>February!F15</f>
        <v>900910</v>
      </c>
      <c r="B98" s="1" t="str">
        <f>February!G15</f>
        <v>02/27/2023</v>
      </c>
      <c r="C98" s="1" t="str">
        <f>February!H15</f>
        <v>9/21/1967</v>
      </c>
      <c r="D98" s="1" t="str">
        <f>February!I15</f>
        <v>Gold</v>
      </c>
      <c r="E98" s="1" t="str">
        <f>February!J15</f>
        <v>White</v>
      </c>
    </row>
    <row r="99">
      <c r="A99" s="1" t="str">
        <f>February!F16</f>
        <v>303669</v>
      </c>
      <c r="B99" s="1" t="str">
        <f>February!G16</f>
        <v>02/18/2023</v>
      </c>
      <c r="C99" s="1" t="str">
        <f>February!H16</f>
        <v>1/3/2016</v>
      </c>
      <c r="D99" s="1" t="str">
        <f>February!I16</f>
        <v>Basic</v>
      </c>
      <c r="E99" s="1" t="str">
        <f>February!J16</f>
        <v>Black</v>
      </c>
    </row>
    <row r="100">
      <c r="A100" s="1" t="str">
        <f>February!F17</f>
        <v>995456</v>
      </c>
      <c r="B100" s="1" t="str">
        <f>February!G17</f>
        <v>02/17/2023</v>
      </c>
      <c r="C100" s="1" t="str">
        <f>February!H17</f>
        <v>3/5/1975</v>
      </c>
      <c r="D100" s="1" t="str">
        <f>February!I17</f>
        <v>Basic</v>
      </c>
      <c r="E100" s="1" t="str">
        <f>February!J17</f>
        <v>Other</v>
      </c>
    </row>
    <row r="101">
      <c r="A101" s="1" t="str">
        <f>February!F18</f>
        <v>598787</v>
      </c>
      <c r="B101" s="1" t="str">
        <f>February!G18</f>
        <v>02/1/2023</v>
      </c>
      <c r="C101" s="1" t="str">
        <f>February!H18</f>
        <v>9/11/1962</v>
      </c>
      <c r="D101" s="1" t="str">
        <f>February!I18</f>
        <v>Basic</v>
      </c>
      <c r="E101" s="1" t="str">
        <f>February!J18</f>
        <v>Other</v>
      </c>
    </row>
    <row r="102">
      <c r="A102" s="1" t="str">
        <f>February!F19</f>
        <v>239484</v>
      </c>
      <c r="B102" s="1" t="str">
        <f>February!G19</f>
        <v>02/6/2023</v>
      </c>
      <c r="C102" s="1" t="str">
        <f>February!H19</f>
        <v>5/1/1999</v>
      </c>
      <c r="D102" s="1" t="str">
        <f>February!I19</f>
        <v>Gold</v>
      </c>
      <c r="E102" s="1" t="str">
        <f>February!J19</f>
        <v>Other</v>
      </c>
    </row>
    <row r="103">
      <c r="A103" s="1" t="str">
        <f>February!F20</f>
        <v>188081</v>
      </c>
      <c r="B103" s="1" t="str">
        <f>February!G20</f>
        <v>02/26/2023</v>
      </c>
      <c r="C103" s="1" t="str">
        <f>February!H20</f>
        <v>5/29/1969</v>
      </c>
      <c r="D103" s="1" t="str">
        <f>February!I20</f>
        <v>Basic</v>
      </c>
      <c r="E103" s="1" t="str">
        <f>February!J20</f>
        <v>Other</v>
      </c>
    </row>
    <row r="104">
      <c r="A104" s="1" t="str">
        <f>February!F21</f>
        <v>828504</v>
      </c>
      <c r="B104" s="1" t="str">
        <f>February!G21</f>
        <v>02/10/2023</v>
      </c>
      <c r="C104" s="1" t="str">
        <f>February!H21</f>
        <v>9/21/2013</v>
      </c>
      <c r="D104" s="1" t="str">
        <f>February!I21</f>
        <v>Basic</v>
      </c>
      <c r="E104" s="1" t="str">
        <f>February!J21</f>
        <v>Other</v>
      </c>
    </row>
    <row r="105">
      <c r="A105" s="1" t="str">
        <f>February!F22</f>
        <v>150648</v>
      </c>
      <c r="B105" s="1" t="str">
        <f>February!G22</f>
        <v>02/2/2023</v>
      </c>
      <c r="C105" s="1" t="str">
        <f>February!H22</f>
        <v>6/4/1950</v>
      </c>
      <c r="D105" s="1" t="str">
        <f>February!I22</f>
        <v>Basic</v>
      </c>
      <c r="E105" s="1" t="str">
        <f>February!J22</f>
        <v>Black</v>
      </c>
    </row>
    <row r="106">
      <c r="A106" s="1" t="str">
        <f>February!F23</f>
        <v>263796</v>
      </c>
      <c r="B106" s="1" t="str">
        <f>February!G23</f>
        <v>02/24/2023</v>
      </c>
      <c r="C106" s="1" t="str">
        <f>February!H23</f>
        <v>2/10/1952</v>
      </c>
      <c r="D106" s="1" t="str">
        <f>February!I23</f>
        <v>Gold</v>
      </c>
      <c r="E106" s="1" t="str">
        <f>February!J23</f>
        <v>White</v>
      </c>
    </row>
    <row r="107">
      <c r="A107" s="1" t="str">
        <f>February!F24</f>
        <v>662810</v>
      </c>
      <c r="B107" s="1" t="str">
        <f>February!G24</f>
        <v>02/25/2023</v>
      </c>
      <c r="C107" s="1" t="str">
        <f>February!H24</f>
        <v>12/11/1994</v>
      </c>
      <c r="D107" s="1" t="str">
        <f>February!I24</f>
        <v>Gold</v>
      </c>
      <c r="E107" s="1" t="str">
        <f>February!J24</f>
        <v>Asian</v>
      </c>
    </row>
    <row r="108">
      <c r="A108" s="1" t="str">
        <f>February!F25</f>
        <v>988008</v>
      </c>
      <c r="B108" s="1" t="str">
        <f>February!G25</f>
        <v>02/6/2023</v>
      </c>
      <c r="C108" s="1" t="str">
        <f>February!H25</f>
        <v>7/9/1971</v>
      </c>
      <c r="D108" s="1" t="str">
        <f>February!I25</f>
        <v>Gold</v>
      </c>
      <c r="E108" s="1" t="str">
        <f>February!J25</f>
        <v>Asian</v>
      </c>
    </row>
    <row r="109">
      <c r="A109" s="1" t="str">
        <f>February!F26</f>
        <v>126580</v>
      </c>
      <c r="B109" s="1" t="str">
        <f>February!G26</f>
        <v>02/7/2023</v>
      </c>
      <c r="C109" s="1" t="str">
        <f>February!H26</f>
        <v>7/17/1945</v>
      </c>
      <c r="D109" s="1" t="str">
        <f>February!I26</f>
        <v>Platinum</v>
      </c>
      <c r="E109" s="1" t="str">
        <f>February!J26</f>
        <v>Black</v>
      </c>
    </row>
    <row r="110">
      <c r="A110" s="1" t="str">
        <f>February!F27</f>
        <v>307769</v>
      </c>
      <c r="B110" s="1" t="str">
        <f>February!G27</f>
        <v>02/16/2023</v>
      </c>
      <c r="C110" s="1" t="str">
        <f>February!H27</f>
        <v>7/26/1981</v>
      </c>
      <c r="D110" s="1" t="str">
        <f>February!I27</f>
        <v>Gold</v>
      </c>
      <c r="E110" s="1" t="str">
        <f>February!J27</f>
        <v>White</v>
      </c>
    </row>
    <row r="111">
      <c r="A111" s="1" t="str">
        <f>February!F28</f>
        <v>890043</v>
      </c>
      <c r="B111" s="1" t="str">
        <f>February!G28</f>
        <v>02/8/2023</v>
      </c>
      <c r="C111" s="1" t="str">
        <f>February!H28</f>
        <v>5/24/2010</v>
      </c>
      <c r="D111" s="1" t="str">
        <f>February!I28</f>
        <v>Basic</v>
      </c>
      <c r="E111" s="1" t="str">
        <f>February!J28</f>
        <v>White</v>
      </c>
    </row>
    <row r="112">
      <c r="A112" s="1" t="str">
        <f>February!F29</f>
        <v>866947</v>
      </c>
      <c r="B112" s="1" t="str">
        <f>February!G29</f>
        <v>02/2/2023</v>
      </c>
      <c r="C112" s="1" t="str">
        <f>February!H29</f>
        <v>4/11/1949</v>
      </c>
      <c r="D112" s="1" t="str">
        <f>February!I29</f>
        <v>Gold</v>
      </c>
      <c r="E112" s="1" t="str">
        <f>February!J29</f>
        <v>Other</v>
      </c>
    </row>
    <row r="113">
      <c r="A113" s="1" t="str">
        <f>February!F30</f>
        <v>200988</v>
      </c>
      <c r="B113" s="1" t="str">
        <f>February!G30</f>
        <v>02/24/2023</v>
      </c>
      <c r="C113" s="1" t="str">
        <f>February!H30</f>
        <v>10/8/1969</v>
      </c>
      <c r="D113" s="1" t="str">
        <f>February!I30</f>
        <v>Platinum</v>
      </c>
      <c r="E113" s="1" t="str">
        <f>February!J30</f>
        <v>Asian</v>
      </c>
    </row>
    <row r="114">
      <c r="A114" s="1" t="str">
        <f>February!F31</f>
        <v>667559</v>
      </c>
      <c r="B114" s="1" t="str">
        <f>February!G31</f>
        <v>02/14/2023</v>
      </c>
      <c r="C114" s="1" t="str">
        <f>February!H31</f>
        <v>5/16/1985</v>
      </c>
      <c r="D114" s="1" t="str">
        <f>February!I31</f>
        <v>Basic</v>
      </c>
      <c r="E114" s="1" t="str">
        <f>February!J31</f>
        <v>Other</v>
      </c>
    </row>
    <row r="115">
      <c r="A115" s="1" t="str">
        <f>February!F32</f>
        <v>862571</v>
      </c>
      <c r="B115" s="1" t="str">
        <f>February!G32</f>
        <v>02/7/2023</v>
      </c>
      <c r="C115" s="1" t="str">
        <f>February!H32</f>
        <v>3/10/1962</v>
      </c>
      <c r="D115" s="1" t="str">
        <f>February!I32</f>
        <v>Gold</v>
      </c>
      <c r="E115" s="1" t="str">
        <f>February!J32</f>
        <v>Black</v>
      </c>
    </row>
    <row r="116">
      <c r="A116" s="1" t="str">
        <f>February!F33</f>
        <v>448076</v>
      </c>
      <c r="B116" s="1" t="str">
        <f>February!G33</f>
        <v>02/20/2023</v>
      </c>
      <c r="C116" s="1" t="str">
        <f>February!H33</f>
        <v>10/7/1995</v>
      </c>
      <c r="D116" s="1" t="str">
        <f>February!I33</f>
        <v>Platinum</v>
      </c>
      <c r="E116" s="1" t="str">
        <f>February!J33</f>
        <v>White</v>
      </c>
    </row>
    <row r="117">
      <c r="A117" s="1" t="str">
        <f>February!F34</f>
        <v>993967</v>
      </c>
      <c r="B117" s="1" t="str">
        <f>February!G34</f>
        <v>02/15/2023</v>
      </c>
      <c r="C117" s="1" t="str">
        <f>February!H34</f>
        <v>2/23/1951</v>
      </c>
      <c r="D117" s="1" t="str">
        <f>February!I34</f>
        <v>Platinum</v>
      </c>
      <c r="E117" s="1" t="str">
        <f>February!J34</f>
        <v>Asian</v>
      </c>
    </row>
    <row r="118">
      <c r="A118" s="1" t="str">
        <f>February!F35</f>
        <v>748205</v>
      </c>
      <c r="B118" s="1" t="str">
        <f>February!G35</f>
        <v>02/5/2023</v>
      </c>
      <c r="C118" s="1" t="str">
        <f>February!H35</f>
        <v>6/19/2002</v>
      </c>
      <c r="D118" s="1" t="str">
        <f>February!I35</f>
        <v>Gold</v>
      </c>
      <c r="E118" s="1" t="str">
        <f>February!J35</f>
        <v>Asian</v>
      </c>
    </row>
    <row r="119">
      <c r="A119" s="1" t="str">
        <f>February!F36</f>
        <v>582245</v>
      </c>
      <c r="B119" s="1" t="str">
        <f>February!G36</f>
        <v>02/20/2023</v>
      </c>
      <c r="C119" s="1" t="str">
        <f>February!H36</f>
        <v>2/17/2012</v>
      </c>
      <c r="D119" s="1" t="str">
        <f>February!I36</f>
        <v>Platinum</v>
      </c>
      <c r="E119" s="1" t="str">
        <f>February!J36</f>
        <v>Other</v>
      </c>
    </row>
    <row r="120">
      <c r="A120" s="1" t="str">
        <f>February!F37</f>
        <v>429112</v>
      </c>
      <c r="B120" s="1" t="str">
        <f>February!G37</f>
        <v>02/8/2023</v>
      </c>
      <c r="C120" s="1" t="str">
        <f>February!H37</f>
        <v>11/20/1993</v>
      </c>
      <c r="D120" s="1" t="str">
        <f>February!I37</f>
        <v>Basic</v>
      </c>
      <c r="E120" s="1" t="str">
        <f>February!J37</f>
        <v>Black</v>
      </c>
    </row>
    <row r="121">
      <c r="A121" s="1" t="str">
        <f>February!F38</f>
        <v>528281</v>
      </c>
      <c r="B121" s="1" t="str">
        <f>February!G38</f>
        <v>02/22/2023</v>
      </c>
      <c r="C121" s="1" t="str">
        <f>February!H38</f>
        <v>12/22/2009</v>
      </c>
      <c r="D121" s="1" t="str">
        <f>February!I38</f>
        <v>Basic</v>
      </c>
      <c r="E121" s="1" t="str">
        <f>February!J38</f>
        <v>Black</v>
      </c>
    </row>
    <row r="122">
      <c r="A122" s="1" t="str">
        <f>February!F39</f>
        <v>698182</v>
      </c>
      <c r="B122" s="1" t="str">
        <f>February!G39</f>
        <v>02/20/2023</v>
      </c>
      <c r="C122" s="1" t="str">
        <f>February!H39</f>
        <v>12/28/1960</v>
      </c>
      <c r="D122" s="1" t="str">
        <f>February!I39</f>
        <v>Gold</v>
      </c>
      <c r="E122" s="1" t="str">
        <f>February!J39</f>
        <v>Asian</v>
      </c>
    </row>
    <row r="123">
      <c r="A123" s="1" t="str">
        <f>February!F40</f>
        <v>141574</v>
      </c>
      <c r="B123" s="1" t="str">
        <f>February!G40</f>
        <v>02/9/2023</v>
      </c>
      <c r="C123" s="1" t="str">
        <f>February!H40</f>
        <v>12/18/2012</v>
      </c>
      <c r="D123" s="1" t="str">
        <f>February!I40</f>
        <v>Platinum</v>
      </c>
      <c r="E123" s="1" t="str">
        <f>February!J40</f>
        <v>Other</v>
      </c>
    </row>
    <row r="124">
      <c r="A124" s="1" t="str">
        <f>February!F41</f>
        <v>253467</v>
      </c>
      <c r="B124" s="1" t="str">
        <f>February!G41</f>
        <v>02/5/2023</v>
      </c>
      <c r="C124" s="1" t="str">
        <f>February!H41</f>
        <v>7/29/1984</v>
      </c>
      <c r="D124" s="1" t="str">
        <f>February!I41</f>
        <v>Basic</v>
      </c>
      <c r="E124" s="1" t="str">
        <f>February!J41</f>
        <v>Asian</v>
      </c>
    </row>
    <row r="125">
      <c r="A125" s="1" t="str">
        <f>February!F42</f>
        <v>290840</v>
      </c>
      <c r="B125" s="1" t="str">
        <f>February!G42</f>
        <v>02/14/2023</v>
      </c>
      <c r="C125" s="1" t="str">
        <f>February!H42</f>
        <v>8/3/2001</v>
      </c>
      <c r="D125" s="1" t="str">
        <f>February!I42</f>
        <v>Gold</v>
      </c>
      <c r="E125" s="1" t="str">
        <f>February!J42</f>
        <v>Asian</v>
      </c>
    </row>
    <row r="126">
      <c r="A126" s="1" t="str">
        <f>February!F43</f>
        <v>313159</v>
      </c>
      <c r="B126" s="1" t="str">
        <f>February!G43</f>
        <v>02/27/2023</v>
      </c>
      <c r="C126" s="1" t="str">
        <f>February!H43</f>
        <v>9/23/2008</v>
      </c>
      <c r="D126" s="1" t="str">
        <f>February!I43</f>
        <v>Platinum</v>
      </c>
      <c r="E126" s="1" t="str">
        <f>February!J43</f>
        <v>White</v>
      </c>
    </row>
    <row r="127">
      <c r="A127" s="1" t="str">
        <f>February!F44</f>
        <v>771442</v>
      </c>
      <c r="B127" s="1" t="str">
        <f>February!G44</f>
        <v>02/22/2023</v>
      </c>
      <c r="C127" s="1" t="str">
        <f>February!H44</f>
        <v>5/7/1974</v>
      </c>
      <c r="D127" s="1" t="str">
        <f>February!I44</f>
        <v>Basic</v>
      </c>
      <c r="E127" s="1" t="str">
        <f>February!J44</f>
        <v>White</v>
      </c>
    </row>
    <row r="128">
      <c r="A128" s="1" t="str">
        <f>February!F45</f>
        <v>305931</v>
      </c>
      <c r="B128" s="1" t="str">
        <f>February!G45</f>
        <v>02/9/2023</v>
      </c>
      <c r="C128" s="1" t="str">
        <f>February!H45</f>
        <v>10/1/2011</v>
      </c>
      <c r="D128" s="1" t="str">
        <f>February!I45</f>
        <v>Platinum</v>
      </c>
      <c r="E128" s="1" t="str">
        <f>February!J45</f>
        <v>Other</v>
      </c>
    </row>
    <row r="129">
      <c r="A129" s="1" t="str">
        <f>February!F46</f>
        <v>399130</v>
      </c>
      <c r="B129" s="1" t="str">
        <f>February!G46</f>
        <v>02/28/2023</v>
      </c>
      <c r="C129" s="1" t="str">
        <f>February!H46</f>
        <v>7/4/1958</v>
      </c>
      <c r="D129" s="1" t="str">
        <f>February!I46</f>
        <v>Basic</v>
      </c>
      <c r="E129" s="1" t="str">
        <f>February!J46</f>
        <v>Asian</v>
      </c>
    </row>
    <row r="130">
      <c r="A130" s="1" t="str">
        <f>February!F47</f>
        <v>867729</v>
      </c>
      <c r="B130" s="1" t="str">
        <f>February!G47</f>
        <v>02/3/2023</v>
      </c>
      <c r="C130" s="1" t="str">
        <f>February!H47</f>
        <v>4/24/1957</v>
      </c>
      <c r="D130" s="1" t="str">
        <f>February!I47</f>
        <v>Basic</v>
      </c>
      <c r="E130" s="1" t="str">
        <f>February!J47</f>
        <v>Black</v>
      </c>
    </row>
    <row r="131">
      <c r="A131" s="1" t="str">
        <f>February!F48</f>
        <v>236432</v>
      </c>
      <c r="B131" s="1" t="str">
        <f>February!G48</f>
        <v>02/20/2023</v>
      </c>
      <c r="C131" s="1" t="str">
        <f>February!H48</f>
        <v>10/13/1957</v>
      </c>
      <c r="D131" s="1" t="str">
        <f>February!I48</f>
        <v>Basic</v>
      </c>
      <c r="E131" s="1" t="str">
        <f>February!J48</f>
        <v>White</v>
      </c>
    </row>
    <row r="132">
      <c r="A132" s="1" t="str">
        <f>February!F49</f>
        <v>633342</v>
      </c>
      <c r="B132" s="1" t="str">
        <f>February!G49</f>
        <v>02/8/2023</v>
      </c>
      <c r="C132" s="1" t="str">
        <f>February!H49</f>
        <v>3/25/1972</v>
      </c>
      <c r="D132" s="1" t="str">
        <f>February!I49</f>
        <v>Basic</v>
      </c>
      <c r="E132" s="1" t="str">
        <f>February!J49</f>
        <v>Asian</v>
      </c>
    </row>
    <row r="133">
      <c r="A133" s="1" t="str">
        <f>February!F50</f>
        <v>940601</v>
      </c>
      <c r="B133" s="1" t="str">
        <f>February!G50</f>
        <v>02/9/2023</v>
      </c>
      <c r="C133" s="1" t="str">
        <f>February!H50</f>
        <v>8/4/2011</v>
      </c>
      <c r="D133" s="1" t="str">
        <f>February!I50</f>
        <v>Platinum</v>
      </c>
      <c r="E133" s="1" t="str">
        <f>February!J50</f>
        <v>Other</v>
      </c>
    </row>
    <row r="134">
      <c r="A134" s="1" t="str">
        <f>February!F51</f>
        <v>203783</v>
      </c>
      <c r="B134" s="1" t="str">
        <f>February!G51</f>
        <v>02/24/2023</v>
      </c>
      <c r="C134" s="1" t="str">
        <f>February!H51</f>
        <v>7/10/1975</v>
      </c>
      <c r="D134" s="1" t="str">
        <f>February!I51</f>
        <v>Platinum</v>
      </c>
      <c r="E134" s="1" t="str">
        <f>February!J51</f>
        <v>Black</v>
      </c>
    </row>
    <row r="135">
      <c r="A135" s="1" t="str">
        <f>February!F52</f>
        <v>371550</v>
      </c>
      <c r="B135" s="1" t="str">
        <f>February!G52</f>
        <v>02/2/2023</v>
      </c>
      <c r="C135" s="1" t="str">
        <f>February!H52</f>
        <v>8/20/2004</v>
      </c>
      <c r="D135" s="1" t="str">
        <f>February!I52</f>
        <v>Basic</v>
      </c>
      <c r="E135" s="1" t="str">
        <f>February!J52</f>
        <v>Black</v>
      </c>
    </row>
    <row r="136">
      <c r="A136" s="1" t="str">
        <f>February!F53</f>
        <v>742364</v>
      </c>
      <c r="B136" s="1" t="str">
        <f>February!G53</f>
        <v>02/2/2023</v>
      </c>
      <c r="C136" s="1" t="str">
        <f>February!H53</f>
        <v>9/9/1978</v>
      </c>
      <c r="D136" s="1" t="str">
        <f>February!I53</f>
        <v>Gold</v>
      </c>
      <c r="E136" s="1" t="str">
        <f>February!J53</f>
        <v>Black</v>
      </c>
    </row>
    <row r="137">
      <c r="A137" s="1" t="str">
        <f>February!F54</f>
        <v>149442</v>
      </c>
      <c r="B137" s="1" t="str">
        <f>February!G54</f>
        <v>02/23/2023</v>
      </c>
      <c r="C137" s="1" t="str">
        <f>February!H54</f>
        <v>6/10/1952</v>
      </c>
      <c r="D137" s="1" t="str">
        <f>February!I54</f>
        <v>Gold</v>
      </c>
      <c r="E137" s="1" t="str">
        <f>February!J54</f>
        <v>Other</v>
      </c>
    </row>
    <row r="138">
      <c r="A138" s="1" t="str">
        <f>February!F55</f>
        <v>134738</v>
      </c>
      <c r="B138" s="1" t="str">
        <f>February!G55</f>
        <v>02/4/2023</v>
      </c>
      <c r="C138" s="1" t="str">
        <f>February!H55</f>
        <v>4/21/1992</v>
      </c>
      <c r="D138" s="1" t="str">
        <f>February!I55</f>
        <v>Basic</v>
      </c>
      <c r="E138" s="1" t="str">
        <f>February!J55</f>
        <v>Asian</v>
      </c>
    </row>
    <row r="139">
      <c r="A139" s="1" t="str">
        <f>February!F56</f>
        <v>804513</v>
      </c>
      <c r="B139" s="1" t="str">
        <f>February!G56</f>
        <v>02/25/2023</v>
      </c>
      <c r="C139" s="1" t="str">
        <f>February!H56</f>
        <v>5/12/1974</v>
      </c>
      <c r="D139" s="1" t="str">
        <f>February!I56</f>
        <v>Gold</v>
      </c>
      <c r="E139" s="1" t="str">
        <f>February!J56</f>
        <v>Asian</v>
      </c>
    </row>
    <row r="140">
      <c r="A140" s="1" t="str">
        <f>February!F57</f>
        <v>747974</v>
      </c>
      <c r="B140" s="1" t="str">
        <f>February!G57</f>
        <v>02/10/2023</v>
      </c>
      <c r="C140" s="1" t="str">
        <f>February!H57</f>
        <v>8/14/1966</v>
      </c>
      <c r="D140" s="1" t="str">
        <f>February!I57</f>
        <v>Gold</v>
      </c>
      <c r="E140" s="1" t="str">
        <f>February!J57</f>
        <v>Asian</v>
      </c>
    </row>
    <row r="141">
      <c r="A141" s="1" t="str">
        <f>February!F58</f>
        <v>435231</v>
      </c>
      <c r="B141" s="1" t="str">
        <f>February!G58</f>
        <v>02/11/2023</v>
      </c>
      <c r="C141" s="1" t="str">
        <f>February!H58</f>
        <v>1/2/2012</v>
      </c>
      <c r="D141" s="1" t="str">
        <f>February!I58</f>
        <v>Gold</v>
      </c>
      <c r="E141" s="1" t="str">
        <f>February!J58</f>
        <v>Black</v>
      </c>
    </row>
    <row r="142">
      <c r="A142" s="1" t="str">
        <f>February!F59</f>
        <v>440691</v>
      </c>
      <c r="B142" s="1" t="str">
        <f>February!G59</f>
        <v>02/16/2023</v>
      </c>
      <c r="C142" s="1" t="str">
        <f>February!H59</f>
        <v>7/2/2013</v>
      </c>
      <c r="D142" s="1" t="str">
        <f>February!I59</f>
        <v>Basic</v>
      </c>
      <c r="E142" s="1" t="str">
        <f>February!J59</f>
        <v>White</v>
      </c>
    </row>
    <row r="143">
      <c r="A143" s="1" t="str">
        <f>February!F60</f>
        <v>639573</v>
      </c>
      <c r="B143" s="1" t="str">
        <f>February!G60</f>
        <v>02/3/2023</v>
      </c>
      <c r="C143" s="1" t="str">
        <f>February!H60</f>
        <v>10/7/1943</v>
      </c>
      <c r="D143" s="1" t="str">
        <f>February!I60</f>
        <v>Gold</v>
      </c>
      <c r="E143" s="1" t="str">
        <f>February!J60</f>
        <v>Other</v>
      </c>
    </row>
    <row r="144">
      <c r="A144" s="1" t="str">
        <f>February!F61</f>
        <v>793000</v>
      </c>
      <c r="B144" s="1" t="str">
        <f>February!G61</f>
        <v>02/12/2023</v>
      </c>
      <c r="C144" s="1" t="str">
        <f>February!H61</f>
        <v>4/29/1951</v>
      </c>
      <c r="D144" s="1" t="str">
        <f>February!I61</f>
        <v>Basic</v>
      </c>
      <c r="E144" s="1" t="str">
        <f>February!J61</f>
        <v>Asian</v>
      </c>
    </row>
    <row r="145">
      <c r="A145" s="1" t="str">
        <f>February!F62</f>
        <v>418614</v>
      </c>
      <c r="B145" s="1" t="str">
        <f>February!G62</f>
        <v>02/22/2023</v>
      </c>
      <c r="C145" s="1" t="str">
        <f>February!H62</f>
        <v>11/17/2013</v>
      </c>
      <c r="D145" s="1" t="str">
        <f>February!I62</f>
        <v>Gold</v>
      </c>
      <c r="E145" s="1" t="str">
        <f>February!J62</f>
        <v>White</v>
      </c>
    </row>
    <row r="146">
      <c r="A146" s="1" t="str">
        <f>February!F63</f>
        <v>829902</v>
      </c>
      <c r="B146" s="1" t="str">
        <f>February!G63</f>
        <v>02/11/2023</v>
      </c>
      <c r="C146" s="1" t="str">
        <f>February!H63</f>
        <v>4/14/1968</v>
      </c>
      <c r="D146" s="1" t="str">
        <f>February!I63</f>
        <v>Platinum</v>
      </c>
      <c r="E146" s="1" t="str">
        <f>February!J63</f>
        <v>Other</v>
      </c>
    </row>
    <row r="147">
      <c r="A147" s="1" t="str">
        <f>February!F64</f>
        <v>533119</v>
      </c>
      <c r="B147" s="1" t="str">
        <f>February!G64</f>
        <v>02/17/2023</v>
      </c>
      <c r="C147" s="1" t="str">
        <f>February!H64</f>
        <v>1/25/1960</v>
      </c>
      <c r="D147" s="1" t="str">
        <f>February!I64</f>
        <v>Platinum</v>
      </c>
      <c r="E147" s="1" t="str">
        <f>February!J64</f>
        <v>White</v>
      </c>
    </row>
    <row r="148">
      <c r="A148" s="1" t="str">
        <f>February!F65</f>
        <v>287391</v>
      </c>
      <c r="B148" s="1" t="str">
        <f>February!G65</f>
        <v>02/6/2023</v>
      </c>
      <c r="C148" s="1" t="str">
        <f>February!H65</f>
        <v>11/25/1954</v>
      </c>
      <c r="D148" s="1" t="str">
        <f>February!I65</f>
        <v>Platinum</v>
      </c>
      <c r="E148" s="1" t="str">
        <f>February!J65</f>
        <v>Other</v>
      </c>
    </row>
    <row r="149">
      <c r="A149" s="1" t="str">
        <f>February!F66</f>
        <v>913984</v>
      </c>
      <c r="B149" s="1" t="str">
        <f>February!G66</f>
        <v>02/15/2023</v>
      </c>
      <c r="C149" s="1" t="str">
        <f>February!H66</f>
        <v>9/6/2008</v>
      </c>
      <c r="D149" s="1" t="str">
        <f>February!I66</f>
        <v>Platinum</v>
      </c>
      <c r="E149" s="1" t="str">
        <f>February!J66</f>
        <v>White</v>
      </c>
    </row>
    <row r="150">
      <c r="A150" s="1" t="str">
        <f>February!F67</f>
        <v>336949</v>
      </c>
      <c r="B150" s="1" t="str">
        <f>February!G67</f>
        <v>02/27/2023</v>
      </c>
      <c r="C150" s="1" t="str">
        <f>February!H67</f>
        <v>12/20/1976</v>
      </c>
      <c r="D150" s="1" t="str">
        <f>February!I67</f>
        <v>Platinum</v>
      </c>
      <c r="E150" s="1" t="str">
        <f>February!J67</f>
        <v>White</v>
      </c>
    </row>
    <row r="151">
      <c r="A151" s="1" t="str">
        <f>February!F68</f>
        <v>523380</v>
      </c>
      <c r="B151" s="1" t="str">
        <f>February!G68</f>
        <v>02/21/2023</v>
      </c>
      <c r="C151" s="1" t="str">
        <f>February!H68</f>
        <v>12/23/1994</v>
      </c>
      <c r="D151" s="1" t="str">
        <f>February!I68</f>
        <v>Platinum</v>
      </c>
      <c r="E151" s="1" t="str">
        <f>February!J68</f>
        <v>Asian</v>
      </c>
    </row>
    <row r="152">
      <c r="A152" s="1" t="str">
        <f>February!F69</f>
        <v>645286</v>
      </c>
      <c r="B152" s="1" t="str">
        <f>February!G69</f>
        <v>02/15/2023</v>
      </c>
      <c r="C152" s="1" t="str">
        <f>February!H69</f>
        <v>5/7/2006</v>
      </c>
      <c r="D152" s="1" t="str">
        <f>February!I69</f>
        <v>Basic</v>
      </c>
      <c r="E152" s="1" t="str">
        <f>February!J69</f>
        <v>Other</v>
      </c>
    </row>
    <row r="153">
      <c r="A153" s="1" t="str">
        <f>February!F70</f>
        <v>426503</v>
      </c>
      <c r="B153" s="1" t="str">
        <f>February!G70</f>
        <v>02/26/2023</v>
      </c>
      <c r="C153" s="1" t="str">
        <f>February!H70</f>
        <v>9/3/2009</v>
      </c>
      <c r="D153" s="1" t="str">
        <f>February!I70</f>
        <v>Platinum</v>
      </c>
      <c r="E153" s="1" t="str">
        <f>February!J70</f>
        <v>Other</v>
      </c>
    </row>
    <row r="154">
      <c r="A154" s="1" t="str">
        <f>February!F71</f>
        <v>322646</v>
      </c>
      <c r="B154" s="1" t="str">
        <f>February!G71</f>
        <v>02/27/2023</v>
      </c>
      <c r="C154" s="1" t="str">
        <f>February!H71</f>
        <v>2/24/1956</v>
      </c>
      <c r="D154" s="1" t="str">
        <f>February!I71</f>
        <v>Basic</v>
      </c>
      <c r="E154" s="1" t="str">
        <f>February!J71</f>
        <v>Asian</v>
      </c>
    </row>
    <row r="155">
      <c r="A155" s="1" t="str">
        <f>February!F72</f>
        <v>430823</v>
      </c>
      <c r="B155" s="1" t="str">
        <f>February!G72</f>
        <v>02/27/2023</v>
      </c>
      <c r="C155" s="1" t="str">
        <f>February!H72</f>
        <v>11/22/1986</v>
      </c>
      <c r="D155" s="1" t="str">
        <f>February!I72</f>
        <v>Gold</v>
      </c>
      <c r="E155" s="1" t="str">
        <f>February!J72</f>
        <v>White</v>
      </c>
    </row>
    <row r="156">
      <c r="A156" s="1" t="str">
        <f>February!F73</f>
        <v>905817</v>
      </c>
      <c r="B156" s="1" t="str">
        <f>February!G73</f>
        <v>02/17/2023</v>
      </c>
      <c r="C156" s="1" t="str">
        <f>February!H73</f>
        <v>4/24/1969</v>
      </c>
      <c r="D156" s="1" t="str">
        <f>February!I73</f>
        <v>Gold</v>
      </c>
      <c r="E156" s="1" t="str">
        <f>February!J73</f>
        <v>Other</v>
      </c>
    </row>
    <row r="157">
      <c r="A157" s="1" t="str">
        <f>February!F74</f>
        <v>978249</v>
      </c>
      <c r="B157" s="1" t="str">
        <f>February!G74</f>
        <v>02/20/2023</v>
      </c>
      <c r="C157" s="1" t="str">
        <f>February!H74</f>
        <v>7/9/1944</v>
      </c>
      <c r="D157" s="1" t="str">
        <f>February!I74</f>
        <v>Platinum</v>
      </c>
      <c r="E157" s="1" t="str">
        <f>February!J74</f>
        <v>Asian</v>
      </c>
    </row>
    <row r="158">
      <c r="A158" s="1" t="str">
        <f>February!F75</f>
        <v>863998</v>
      </c>
      <c r="B158" s="1" t="str">
        <f>February!G75</f>
        <v>02/24/2023</v>
      </c>
      <c r="C158" s="1" t="str">
        <f>February!H75</f>
        <v>11/23/2006</v>
      </c>
      <c r="D158" s="1" t="str">
        <f>February!I75</f>
        <v>Platinum</v>
      </c>
      <c r="E158" s="1" t="str">
        <f>February!J75</f>
        <v>Asian</v>
      </c>
    </row>
    <row r="159">
      <c r="A159" s="1" t="str">
        <f>February!F76</f>
        <v>535172</v>
      </c>
      <c r="B159" s="1" t="str">
        <f>February!G76</f>
        <v>02/18/2023</v>
      </c>
      <c r="C159" s="1" t="str">
        <f>February!H76</f>
        <v>12/23/1964</v>
      </c>
      <c r="D159" s="1" t="str">
        <f>February!I76</f>
        <v>Basic</v>
      </c>
      <c r="E159" s="1" t="str">
        <f>February!J76</f>
        <v>Asian</v>
      </c>
    </row>
    <row r="160">
      <c r="A160" s="1" t="str">
        <f>February!F77</f>
        <v>884641</v>
      </c>
      <c r="B160" s="1" t="str">
        <f>February!G77</f>
        <v>02/12/2023</v>
      </c>
      <c r="C160" s="1" t="str">
        <f>February!H77</f>
        <v>2/20/1970</v>
      </c>
      <c r="D160" s="1" t="str">
        <f>February!I77</f>
        <v>Basic</v>
      </c>
      <c r="E160" s="1" t="str">
        <f>February!J77</f>
        <v>Other</v>
      </c>
    </row>
    <row r="161">
      <c r="A161" s="1" t="str">
        <f>February!F78</f>
        <v>695485</v>
      </c>
      <c r="B161" s="1" t="str">
        <f>February!G78</f>
        <v>02/12/2023</v>
      </c>
      <c r="C161" s="1" t="str">
        <f>February!H78</f>
        <v>11/26/1954</v>
      </c>
      <c r="D161" s="1" t="str">
        <f>February!I78</f>
        <v>Gold</v>
      </c>
      <c r="E161" s="1" t="str">
        <f>February!J78</f>
        <v>White</v>
      </c>
    </row>
    <row r="162">
      <c r="A162" s="1" t="str">
        <f>February!F79</f>
        <v>583851</v>
      </c>
      <c r="B162" s="1" t="str">
        <f>February!G79</f>
        <v>02/16/2023</v>
      </c>
      <c r="C162" s="1" t="str">
        <f>February!H79</f>
        <v>2/26/2006</v>
      </c>
      <c r="D162" s="1" t="str">
        <f>February!I79</f>
        <v>Gold</v>
      </c>
      <c r="E162" s="1" t="str">
        <f>February!J79</f>
        <v>Other</v>
      </c>
    </row>
    <row r="163">
      <c r="A163" s="1" t="str">
        <f>February!F80</f>
        <v>436544</v>
      </c>
      <c r="B163" s="1" t="str">
        <f>February!G80</f>
        <v>02/11/2023</v>
      </c>
      <c r="C163" s="1" t="str">
        <f>February!H80</f>
        <v>4/10/2013</v>
      </c>
      <c r="D163" s="1" t="str">
        <f>February!I80</f>
        <v>Basic</v>
      </c>
      <c r="E163" s="1" t="str">
        <f>February!J80</f>
        <v>Black</v>
      </c>
    </row>
    <row r="164">
      <c r="A164" s="1" t="str">
        <f>February!F81</f>
        <v>844387</v>
      </c>
      <c r="B164" s="1" t="str">
        <f>February!G81</f>
        <v>02/2/2023</v>
      </c>
      <c r="C164" s="1" t="str">
        <f>February!H81</f>
        <v>1/17/1950</v>
      </c>
      <c r="D164" s="1" t="str">
        <f>February!I81</f>
        <v>Basic</v>
      </c>
      <c r="E164" s="1" t="str">
        <f>February!J81</f>
        <v>Asian</v>
      </c>
    </row>
    <row r="165">
      <c r="A165" s="1" t="str">
        <f>February!F82</f>
        <v>128220</v>
      </c>
      <c r="B165" s="1" t="str">
        <f>February!G82</f>
        <v>02/27/2023</v>
      </c>
      <c r="C165" s="1" t="str">
        <f>February!H82</f>
        <v>3/22/1947</v>
      </c>
      <c r="D165" s="1" t="str">
        <f>February!I82</f>
        <v>Basic</v>
      </c>
      <c r="E165" s="1" t="str">
        <f>February!J82</f>
        <v>Other</v>
      </c>
    </row>
    <row r="166">
      <c r="A166" s="1" t="str">
        <f>February!F83</f>
        <v>737345</v>
      </c>
      <c r="B166" s="1" t="str">
        <f>February!G83</f>
        <v>02/14/2023</v>
      </c>
      <c r="C166" s="1" t="str">
        <f>February!H83</f>
        <v>1/27/1971</v>
      </c>
      <c r="D166" s="1" t="str">
        <f>February!I83</f>
        <v>Gold</v>
      </c>
      <c r="E166" s="1" t="str">
        <f>February!J83</f>
        <v>Other</v>
      </c>
    </row>
    <row r="167">
      <c r="A167" s="1" t="str">
        <f>February!F84</f>
        <v>431391</v>
      </c>
      <c r="B167" s="1" t="str">
        <f>February!G84</f>
        <v>02/2/2023</v>
      </c>
      <c r="C167" s="1" t="str">
        <f>February!H84</f>
        <v>4/25/1980</v>
      </c>
      <c r="D167" s="1" t="str">
        <f>February!I84</f>
        <v>Basic</v>
      </c>
      <c r="E167" s="1" t="str">
        <f>February!J84</f>
        <v>Other</v>
      </c>
    </row>
    <row r="168">
      <c r="A168" s="1" t="str">
        <f>February!F85</f>
        <v>375824</v>
      </c>
      <c r="B168" s="1" t="str">
        <f>February!G85</f>
        <v>02/10/2023</v>
      </c>
      <c r="C168" s="1" t="str">
        <f>February!H85</f>
        <v>7/5/1978</v>
      </c>
      <c r="D168" s="1" t="str">
        <f>February!I85</f>
        <v>Platinum</v>
      </c>
      <c r="E168" s="1" t="str">
        <f>February!J85</f>
        <v>Other</v>
      </c>
    </row>
    <row r="169">
      <c r="A169" s="1" t="str">
        <f>February!F86</f>
        <v>247253</v>
      </c>
      <c r="B169" s="1" t="str">
        <f>February!G86</f>
        <v>02/21/2023</v>
      </c>
      <c r="C169" s="1" t="str">
        <f>February!H86</f>
        <v>9/26/1987</v>
      </c>
      <c r="D169" s="1" t="str">
        <f>February!I86</f>
        <v>Gold</v>
      </c>
      <c r="E169" s="1" t="str">
        <f>February!J86</f>
        <v>Asian</v>
      </c>
    </row>
    <row r="170">
      <c r="A170" s="1" t="str">
        <f>March!F2</f>
        <v>373223</v>
      </c>
      <c r="B170" s="1" t="str">
        <f>March!G2</f>
        <v>03/29/2023</v>
      </c>
      <c r="C170" s="1" t="str">
        <f>March!H2</f>
        <v>11/12/1985</v>
      </c>
      <c r="D170" s="1" t="str">
        <f>March!I2</f>
        <v>Basic</v>
      </c>
      <c r="E170" s="1" t="str">
        <f>March!J2</f>
        <v>Asian</v>
      </c>
    </row>
    <row r="171">
      <c r="A171" s="1" t="str">
        <f>March!F3</f>
        <v>805034</v>
      </c>
      <c r="B171" s="1" t="str">
        <f>March!G3</f>
        <v>03/19/2023</v>
      </c>
      <c r="C171" s="1" t="str">
        <f>March!H3</f>
        <v>1/10/1968</v>
      </c>
      <c r="D171" s="1" t="str">
        <f>March!I3</f>
        <v>Platinum</v>
      </c>
      <c r="E171" s="1" t="str">
        <f>March!J3</f>
        <v>Asian</v>
      </c>
    </row>
    <row r="172">
      <c r="A172" s="1" t="str">
        <f>March!F4</f>
        <v>842913</v>
      </c>
      <c r="B172" s="1" t="str">
        <f>March!G4</f>
        <v>03/29/2023</v>
      </c>
      <c r="C172" s="1" t="str">
        <f>March!H4</f>
        <v>4/22/1945</v>
      </c>
      <c r="D172" s="1" t="str">
        <f>March!I4</f>
        <v>Gold</v>
      </c>
      <c r="E172" s="1" t="str">
        <f>March!J4</f>
        <v>Other</v>
      </c>
    </row>
    <row r="173">
      <c r="A173" s="1" t="str">
        <f>March!F5</f>
        <v>755287</v>
      </c>
      <c r="B173" s="1" t="str">
        <f>March!G5</f>
        <v>03/24/2023</v>
      </c>
      <c r="C173" s="1" t="str">
        <f>March!H5</f>
        <v>8/27/1997</v>
      </c>
      <c r="D173" s="1" t="str">
        <f>March!I5</f>
        <v>Platinum</v>
      </c>
      <c r="E173" s="1" t="str">
        <f>March!J5</f>
        <v>Black</v>
      </c>
    </row>
    <row r="174">
      <c r="A174" s="1" t="str">
        <f>March!F6</f>
        <v>700950</v>
      </c>
      <c r="B174" s="1" t="str">
        <f>March!G6</f>
        <v>03/10/2023</v>
      </c>
      <c r="C174" s="1" t="str">
        <f>March!H6</f>
        <v>6/18/1940</v>
      </c>
      <c r="D174" s="1" t="str">
        <f>March!I6</f>
        <v>Basic</v>
      </c>
      <c r="E174" s="1" t="str">
        <f>March!J6</f>
        <v>Black</v>
      </c>
    </row>
    <row r="175">
      <c r="A175" s="1" t="str">
        <f>March!F7</f>
        <v>115702</v>
      </c>
      <c r="B175" s="1" t="str">
        <f>March!G7</f>
        <v>03/14/2023</v>
      </c>
      <c r="C175" s="1" t="str">
        <f>March!H7</f>
        <v>2/17/1977</v>
      </c>
      <c r="D175" s="1" t="str">
        <f>March!I7</f>
        <v>Platinum</v>
      </c>
      <c r="E175" s="1" t="str">
        <f>March!J7</f>
        <v>Black</v>
      </c>
    </row>
    <row r="176">
      <c r="A176" s="1" t="str">
        <f>March!F8</f>
        <v>664810</v>
      </c>
      <c r="B176" s="1" t="str">
        <f>March!G8</f>
        <v>03/10/2023</v>
      </c>
      <c r="C176" s="1" t="str">
        <f>March!H8</f>
        <v>7/2/1947</v>
      </c>
      <c r="D176" s="1" t="str">
        <f>March!I8</f>
        <v>Gold</v>
      </c>
      <c r="E176" s="1" t="str">
        <f>March!J8</f>
        <v>Black</v>
      </c>
    </row>
    <row r="177">
      <c r="A177" s="1" t="str">
        <f>March!F9</f>
        <v>698434</v>
      </c>
      <c r="B177" s="1" t="str">
        <f>March!G9</f>
        <v>03/11/2023</v>
      </c>
      <c r="C177" s="1" t="str">
        <f>March!H9</f>
        <v>12/23/1946</v>
      </c>
      <c r="D177" s="1" t="str">
        <f>March!I9</f>
        <v>Basic</v>
      </c>
      <c r="E177" s="1" t="str">
        <f>March!J9</f>
        <v>Black</v>
      </c>
    </row>
    <row r="178">
      <c r="A178" s="1" t="str">
        <f>March!F10</f>
        <v>287144</v>
      </c>
      <c r="B178" s="1" t="str">
        <f>March!G10</f>
        <v>03/23/2023</v>
      </c>
      <c r="C178" s="1" t="str">
        <f>March!H10</f>
        <v>9/25/1976</v>
      </c>
      <c r="D178" s="1" t="str">
        <f>March!I10</f>
        <v>Platinum</v>
      </c>
      <c r="E178" s="1" t="str">
        <f>March!J10</f>
        <v>White</v>
      </c>
    </row>
    <row r="179">
      <c r="A179" s="1" t="str">
        <f>March!F11</f>
        <v>980787</v>
      </c>
      <c r="B179" s="1" t="str">
        <f>March!G11</f>
        <v>03/13/2023</v>
      </c>
      <c r="C179" s="1" t="str">
        <f>March!H11</f>
        <v>2/18/1975</v>
      </c>
      <c r="D179" s="1" t="str">
        <f>March!I11</f>
        <v>Platinum</v>
      </c>
      <c r="E179" s="1" t="str">
        <f>March!J11</f>
        <v>Black</v>
      </c>
    </row>
    <row r="180">
      <c r="A180" s="1" t="str">
        <f>March!F12</f>
        <v>487923</v>
      </c>
      <c r="B180" s="1" t="str">
        <f>March!G12</f>
        <v>03/22/2023</v>
      </c>
      <c r="C180" s="1" t="str">
        <f>March!H12</f>
        <v>6/28/1990</v>
      </c>
      <c r="D180" s="1" t="str">
        <f>March!I12</f>
        <v>Platinum</v>
      </c>
      <c r="E180" s="1" t="str">
        <f>March!J12</f>
        <v>White</v>
      </c>
    </row>
    <row r="181">
      <c r="A181" s="1" t="str">
        <f>March!F13</f>
        <v>512194</v>
      </c>
      <c r="B181" s="1" t="str">
        <f>March!G13</f>
        <v>03/13/2023</v>
      </c>
      <c r="C181" s="1" t="str">
        <f>March!H13</f>
        <v>4/9/1985</v>
      </c>
      <c r="D181" s="1" t="str">
        <f>March!I13</f>
        <v>Gold</v>
      </c>
      <c r="E181" s="1" t="str">
        <f>March!J13</f>
        <v>White</v>
      </c>
    </row>
    <row r="182">
      <c r="A182" s="1" t="str">
        <f>March!F14</f>
        <v>135265</v>
      </c>
      <c r="B182" s="1" t="str">
        <f>March!G14</f>
        <v>03/28/2023</v>
      </c>
      <c r="C182" s="1" t="str">
        <f>March!H14</f>
        <v>2/9/1940</v>
      </c>
      <c r="D182" s="1" t="str">
        <f>March!I14</f>
        <v>Platinum</v>
      </c>
      <c r="E182" s="1" t="str">
        <f>March!J14</f>
        <v>White</v>
      </c>
    </row>
    <row r="183">
      <c r="A183" s="1" t="str">
        <f>March!F15</f>
        <v>762476</v>
      </c>
      <c r="B183" s="1" t="str">
        <f>March!G15</f>
        <v>03/23/2023</v>
      </c>
      <c r="C183" s="1" t="str">
        <f>March!H15</f>
        <v>6/3/1956</v>
      </c>
      <c r="D183" s="1" t="str">
        <f>March!I15</f>
        <v>Basic</v>
      </c>
      <c r="E183" s="1" t="str">
        <f>March!J15</f>
        <v>Other</v>
      </c>
    </row>
    <row r="184">
      <c r="A184" s="1" t="str">
        <f>March!F16</f>
        <v>506007</v>
      </c>
      <c r="B184" s="1" t="str">
        <f>March!G16</f>
        <v>03/23/2023</v>
      </c>
      <c r="C184" s="1" t="str">
        <f>March!H16</f>
        <v>12/1/1979</v>
      </c>
      <c r="D184" s="1" t="str">
        <f>March!I16</f>
        <v>Basic</v>
      </c>
      <c r="E184" s="1" t="str">
        <f>March!J16</f>
        <v>Asian</v>
      </c>
    </row>
    <row r="185">
      <c r="A185" s="1" t="str">
        <f>March!F17</f>
        <v>221229</v>
      </c>
      <c r="B185" s="1" t="str">
        <f>March!G17</f>
        <v>03/13/2023</v>
      </c>
      <c r="C185" s="1" t="str">
        <f>March!H17</f>
        <v>2/26/1965</v>
      </c>
      <c r="D185" s="1" t="str">
        <f>March!I17</f>
        <v>Platinum</v>
      </c>
      <c r="E185" s="1" t="str">
        <f>March!J17</f>
        <v>White</v>
      </c>
    </row>
    <row r="186">
      <c r="A186" s="1" t="str">
        <f>March!F18</f>
        <v>650842</v>
      </c>
      <c r="B186" s="1" t="str">
        <f>March!G18</f>
        <v>03/28/2023</v>
      </c>
      <c r="C186" s="1" t="str">
        <f>March!H18</f>
        <v>6/6/1953</v>
      </c>
      <c r="D186" s="1" t="str">
        <f>March!I18</f>
        <v>Gold</v>
      </c>
      <c r="E186" s="1" t="str">
        <f>March!J18</f>
        <v>Other</v>
      </c>
    </row>
    <row r="187">
      <c r="A187" s="1" t="str">
        <f>March!F19</f>
        <v>675810</v>
      </c>
      <c r="B187" s="1" t="str">
        <f>March!G19</f>
        <v>03/12/2023</v>
      </c>
      <c r="C187" s="1" t="str">
        <f>March!H19</f>
        <v>12/12/1968</v>
      </c>
      <c r="D187" s="1" t="str">
        <f>March!I19</f>
        <v>Gold</v>
      </c>
      <c r="E187" s="1" t="str">
        <f>March!J19</f>
        <v>Other</v>
      </c>
    </row>
    <row r="188">
      <c r="A188" s="1" t="str">
        <f>March!F20</f>
        <v>989180</v>
      </c>
      <c r="B188" s="1" t="str">
        <f>March!G20</f>
        <v>03/14/2023</v>
      </c>
      <c r="C188" s="1" t="str">
        <f>March!H20</f>
        <v>9/18/1953</v>
      </c>
      <c r="D188" s="1" t="str">
        <f>March!I20</f>
        <v>Gold</v>
      </c>
      <c r="E188" s="1" t="str">
        <f>March!J20</f>
        <v>White</v>
      </c>
    </row>
    <row r="189">
      <c r="A189" s="1" t="str">
        <f>March!F21</f>
        <v>250381</v>
      </c>
      <c r="B189" s="1" t="str">
        <f>March!G21</f>
        <v>03/26/2023</v>
      </c>
      <c r="C189" s="1" t="str">
        <f>March!H21</f>
        <v>5/18/1945</v>
      </c>
      <c r="D189" s="1" t="str">
        <f>March!I21</f>
        <v>Platinum</v>
      </c>
      <c r="E189" s="1" t="str">
        <f>March!J21</f>
        <v>Other</v>
      </c>
    </row>
    <row r="190">
      <c r="A190" s="1" t="str">
        <f>March!F22</f>
        <v>548861</v>
      </c>
      <c r="B190" s="1" t="str">
        <f>March!G22</f>
        <v>03/24/2023</v>
      </c>
      <c r="C190" s="1" t="str">
        <f>March!H22</f>
        <v>5/3/1962</v>
      </c>
      <c r="D190" s="1" t="str">
        <f>March!I22</f>
        <v>Platinum</v>
      </c>
      <c r="E190" s="1" t="str">
        <f>March!J22</f>
        <v>Other</v>
      </c>
    </row>
    <row r="191">
      <c r="A191" s="1" t="str">
        <f>March!F23</f>
        <v>184141</v>
      </c>
      <c r="B191" s="1" t="str">
        <f>March!G23</f>
        <v>03/22/2023</v>
      </c>
      <c r="C191" s="1" t="str">
        <f>March!H23</f>
        <v>3/18/1949</v>
      </c>
      <c r="D191" s="1" t="str">
        <f>March!I23</f>
        <v>Basic</v>
      </c>
      <c r="E191" s="1" t="str">
        <f>March!J23</f>
        <v>Black</v>
      </c>
    </row>
    <row r="192">
      <c r="A192" s="1" t="str">
        <f>March!F24</f>
        <v>830235</v>
      </c>
      <c r="B192" s="1" t="str">
        <f>March!G24</f>
        <v>03/14/2023</v>
      </c>
      <c r="C192" s="1" t="str">
        <f>March!H24</f>
        <v>8/15/1947</v>
      </c>
      <c r="D192" s="1" t="str">
        <f>March!I24</f>
        <v>Gold</v>
      </c>
      <c r="E192" s="1" t="str">
        <f>March!J24</f>
        <v>Black</v>
      </c>
    </row>
    <row r="193">
      <c r="A193" s="1" t="str">
        <f>March!F25</f>
        <v>664103</v>
      </c>
      <c r="B193" s="1" t="str">
        <f>March!G25</f>
        <v>03/23/2023</v>
      </c>
      <c r="C193" s="1" t="str">
        <f>March!H25</f>
        <v>6/29/2014</v>
      </c>
      <c r="D193" s="1" t="str">
        <f>March!I25</f>
        <v>Gold</v>
      </c>
      <c r="E193" s="1" t="str">
        <f>March!J25</f>
        <v>Black</v>
      </c>
    </row>
    <row r="194">
      <c r="A194" s="1" t="str">
        <f>March!F26</f>
        <v>569706</v>
      </c>
      <c r="B194" s="1" t="str">
        <f>March!G26</f>
        <v>03/18/2023</v>
      </c>
      <c r="C194" s="1" t="str">
        <f>March!H26</f>
        <v>5/16/2014</v>
      </c>
      <c r="D194" s="1" t="str">
        <f>March!I26</f>
        <v>Gold</v>
      </c>
      <c r="E194" s="1" t="str">
        <f>March!J26</f>
        <v>Asian</v>
      </c>
    </row>
    <row r="195">
      <c r="A195" s="1" t="str">
        <f>March!F27</f>
        <v>312371</v>
      </c>
      <c r="B195" s="1" t="str">
        <f>March!G27</f>
        <v>03/17/2023</v>
      </c>
      <c r="C195" s="1" t="str">
        <f>March!H27</f>
        <v>6/28/2019</v>
      </c>
      <c r="D195" s="1" t="str">
        <f>March!I27</f>
        <v>Gold</v>
      </c>
      <c r="E195" s="1" t="str">
        <f>March!J27</f>
        <v>Asian</v>
      </c>
    </row>
    <row r="196">
      <c r="A196" s="1" t="str">
        <f>March!F28</f>
        <v>638704</v>
      </c>
      <c r="B196" s="1" t="str">
        <f>March!G28</f>
        <v>03/21/2023</v>
      </c>
      <c r="C196" s="1" t="str">
        <f>March!H28</f>
        <v>4/6/1946</v>
      </c>
      <c r="D196" s="1" t="str">
        <f>March!I28</f>
        <v>Gold</v>
      </c>
      <c r="E196" s="1" t="str">
        <f>March!J28</f>
        <v>Other</v>
      </c>
    </row>
    <row r="197">
      <c r="A197" s="1" t="str">
        <f>March!F29</f>
        <v>248371</v>
      </c>
      <c r="B197" s="1" t="str">
        <f>March!G29</f>
        <v>03/1/2023</v>
      </c>
      <c r="C197" s="1" t="str">
        <f>March!H29</f>
        <v>12/30/1979</v>
      </c>
      <c r="D197" s="1" t="str">
        <f>March!I29</f>
        <v>Gold</v>
      </c>
      <c r="E197" s="1" t="str">
        <f>March!J29</f>
        <v>Asian</v>
      </c>
    </row>
    <row r="198">
      <c r="A198" s="1" t="str">
        <f>March!F30</f>
        <v>415677</v>
      </c>
      <c r="B198" s="1" t="str">
        <f>March!G30</f>
        <v>03/11/2023</v>
      </c>
      <c r="C198" s="1" t="str">
        <f>March!H30</f>
        <v>3/31/2008</v>
      </c>
      <c r="D198" s="1" t="str">
        <f>March!I30</f>
        <v>Basic</v>
      </c>
      <c r="E198" s="1" t="str">
        <f>March!J30</f>
        <v>Black</v>
      </c>
    </row>
    <row r="199">
      <c r="A199" s="1" t="str">
        <f>March!F31</f>
        <v>982951</v>
      </c>
      <c r="B199" s="1" t="str">
        <f>March!G31</f>
        <v>03/3/2023</v>
      </c>
      <c r="C199" s="1" t="str">
        <f>March!H31</f>
        <v>3/6/1982</v>
      </c>
      <c r="D199" s="1" t="str">
        <f>March!I31</f>
        <v>Platinum</v>
      </c>
      <c r="E199" s="1" t="str">
        <f>March!J31</f>
        <v>Black</v>
      </c>
    </row>
    <row r="200">
      <c r="A200" s="1" t="str">
        <f>March!F32</f>
        <v>994016</v>
      </c>
      <c r="B200" s="1" t="str">
        <f>March!G32</f>
        <v>03/29/2023</v>
      </c>
      <c r="C200" s="1" t="str">
        <f>March!H32</f>
        <v>3/29/1955</v>
      </c>
      <c r="D200" s="1" t="str">
        <f>March!I32</f>
        <v>Platinum</v>
      </c>
      <c r="E200" s="1" t="str">
        <f>March!J32</f>
        <v>Other</v>
      </c>
    </row>
    <row r="201">
      <c r="A201" s="1" t="str">
        <f>March!F33</f>
        <v>895152</v>
      </c>
      <c r="B201" s="1" t="str">
        <f>March!G33</f>
        <v>03/28/2023</v>
      </c>
      <c r="C201" s="1" t="str">
        <f>March!H33</f>
        <v>8/4/1941</v>
      </c>
      <c r="D201" s="1" t="str">
        <f>March!I33</f>
        <v>Basic</v>
      </c>
      <c r="E201" s="1" t="str">
        <f>March!J33</f>
        <v>Asian</v>
      </c>
    </row>
    <row r="202">
      <c r="A202" s="1" t="str">
        <f>March!F34</f>
        <v>255988</v>
      </c>
      <c r="B202" s="1" t="str">
        <f>March!G34</f>
        <v>03/24/2023</v>
      </c>
      <c r="C202" s="1" t="str">
        <f>March!H34</f>
        <v>6/7/2017</v>
      </c>
      <c r="D202" s="1" t="str">
        <f>March!I34</f>
        <v>Basic</v>
      </c>
      <c r="E202" s="1" t="str">
        <f>March!J34</f>
        <v>Asian</v>
      </c>
    </row>
    <row r="203">
      <c r="A203" s="1" t="str">
        <f>March!F35</f>
        <v>838073</v>
      </c>
      <c r="B203" s="1" t="str">
        <f>March!G35</f>
        <v>03/26/2023</v>
      </c>
      <c r="C203" s="1" t="str">
        <f>March!H35</f>
        <v>9/14/2011</v>
      </c>
      <c r="D203" s="1" t="str">
        <f>March!I35</f>
        <v>Basic</v>
      </c>
      <c r="E203" s="1" t="str">
        <f>March!J35</f>
        <v>Asian</v>
      </c>
    </row>
    <row r="204">
      <c r="A204" s="1" t="str">
        <f>March!F36</f>
        <v>458285</v>
      </c>
      <c r="B204" s="1" t="str">
        <f>March!G36</f>
        <v>03/27/2023</v>
      </c>
      <c r="C204" s="1" t="str">
        <f>March!H36</f>
        <v>12/20/2018</v>
      </c>
      <c r="D204" s="1" t="str">
        <f>March!I36</f>
        <v>Basic</v>
      </c>
      <c r="E204" s="1" t="str">
        <f>March!J36</f>
        <v>Other</v>
      </c>
    </row>
    <row r="205">
      <c r="A205" s="1" t="str">
        <f>March!F37</f>
        <v>924472</v>
      </c>
      <c r="B205" s="1" t="str">
        <f>March!G37</f>
        <v>03/24/2023</v>
      </c>
      <c r="C205" s="1" t="str">
        <f>March!H37</f>
        <v>6/14/1972</v>
      </c>
      <c r="D205" s="1" t="str">
        <f>March!I37</f>
        <v>Basic</v>
      </c>
      <c r="E205" s="1" t="str">
        <f>March!J37</f>
        <v>White</v>
      </c>
    </row>
    <row r="206">
      <c r="A206" s="1" t="str">
        <f>March!F38</f>
        <v>588390</v>
      </c>
      <c r="B206" s="1" t="str">
        <f>March!G38</f>
        <v>03/16/2023</v>
      </c>
      <c r="C206" s="1" t="str">
        <f>March!H38</f>
        <v>3/22/1950</v>
      </c>
      <c r="D206" s="1" t="str">
        <f>March!I38</f>
        <v>Basic</v>
      </c>
      <c r="E206" s="1" t="str">
        <f>March!J38</f>
        <v>Black</v>
      </c>
    </row>
    <row r="207">
      <c r="A207" s="1" t="str">
        <f>March!F39</f>
        <v>621479</v>
      </c>
      <c r="B207" s="1" t="str">
        <f>March!G39</f>
        <v>03/22/2023</v>
      </c>
      <c r="C207" s="1" t="str">
        <f>March!H39</f>
        <v>1/12/1968</v>
      </c>
      <c r="D207" s="1" t="str">
        <f>March!I39</f>
        <v>Basic</v>
      </c>
      <c r="E207" s="1" t="str">
        <f>March!J39</f>
        <v>White</v>
      </c>
    </row>
    <row r="208">
      <c r="A208" s="1" t="str">
        <f>March!F40</f>
        <v>791978</v>
      </c>
      <c r="B208" s="1" t="str">
        <f>March!G40</f>
        <v>03/28/2023</v>
      </c>
      <c r="C208" s="1" t="str">
        <f>March!H40</f>
        <v>10/18/1985</v>
      </c>
      <c r="D208" s="1" t="str">
        <f>March!I40</f>
        <v>Basic</v>
      </c>
      <c r="E208" s="1" t="str">
        <f>March!J40</f>
        <v>White</v>
      </c>
    </row>
    <row r="209">
      <c r="A209" s="1" t="str">
        <f>March!F41</f>
        <v>413196</v>
      </c>
      <c r="B209" s="1" t="str">
        <f>March!G41</f>
        <v>03/4/2023</v>
      </c>
      <c r="C209" s="1" t="str">
        <f>March!H41</f>
        <v>10/1/1974</v>
      </c>
      <c r="D209" s="1" t="str">
        <f>March!I41</f>
        <v>Platinum</v>
      </c>
      <c r="E209" s="1" t="str">
        <f>March!J41</f>
        <v>White</v>
      </c>
    </row>
    <row r="210">
      <c r="A210" s="1" t="str">
        <f>March!F42</f>
        <v>445531</v>
      </c>
      <c r="B210" s="1" t="str">
        <f>March!G42</f>
        <v>03/25/2023</v>
      </c>
      <c r="C210" s="1" t="str">
        <f>March!H42</f>
        <v>11/1/1963</v>
      </c>
      <c r="D210" s="1" t="str">
        <f>March!I42</f>
        <v>Gold</v>
      </c>
      <c r="E210" s="1" t="str">
        <f>March!J42</f>
        <v>Black</v>
      </c>
    </row>
    <row r="211">
      <c r="A211" s="1" t="str">
        <f>March!F43</f>
        <v>316875</v>
      </c>
      <c r="B211" s="1" t="str">
        <f>March!G43</f>
        <v>03/31/2023</v>
      </c>
      <c r="C211" s="1" t="str">
        <f>March!H43</f>
        <v>3/7/1992</v>
      </c>
      <c r="D211" s="1" t="str">
        <f>March!I43</f>
        <v>Basic</v>
      </c>
      <c r="E211" s="1" t="str">
        <f>March!J43</f>
        <v>Other</v>
      </c>
    </row>
    <row r="212">
      <c r="A212" s="1" t="str">
        <f>March!F44</f>
        <v>500741</v>
      </c>
      <c r="B212" s="1" t="str">
        <f>March!G44</f>
        <v>03/23/2023</v>
      </c>
      <c r="C212" s="1" t="str">
        <f>March!H44</f>
        <v>12/26/1955</v>
      </c>
      <c r="D212" s="1" t="str">
        <f>March!I44</f>
        <v>Basic</v>
      </c>
      <c r="E212" s="1" t="str">
        <f>March!J44</f>
        <v>Other</v>
      </c>
    </row>
    <row r="213">
      <c r="A213" s="1" t="str">
        <f>March!F45</f>
        <v>429752</v>
      </c>
      <c r="B213" s="1" t="str">
        <f>March!G45</f>
        <v>03/2/2023</v>
      </c>
      <c r="C213" s="1" t="str">
        <f>March!H45</f>
        <v>11/15/1945</v>
      </c>
      <c r="D213" s="1" t="str">
        <f>March!I45</f>
        <v>Platinum</v>
      </c>
      <c r="E213" s="1" t="str">
        <f>March!J45</f>
        <v>Asian</v>
      </c>
    </row>
    <row r="214">
      <c r="A214" s="1" t="str">
        <f>March!F46</f>
        <v>835234</v>
      </c>
      <c r="B214" s="1" t="str">
        <f>March!G46</f>
        <v>03/13/2023</v>
      </c>
      <c r="C214" s="1" t="str">
        <f>March!H46</f>
        <v>6/4/1948</v>
      </c>
      <c r="D214" s="1" t="str">
        <f>March!I46</f>
        <v>Basic</v>
      </c>
      <c r="E214" s="1" t="str">
        <f>March!J46</f>
        <v>Other</v>
      </c>
    </row>
    <row r="215">
      <c r="A215" s="1" t="str">
        <f>March!F47</f>
        <v>264065</v>
      </c>
      <c r="B215" s="1" t="str">
        <f>March!G47</f>
        <v>03/30/2023</v>
      </c>
      <c r="C215" s="1" t="str">
        <f>March!H47</f>
        <v>12/8/1975</v>
      </c>
      <c r="D215" s="1" t="str">
        <f>March!I47</f>
        <v>Platinum</v>
      </c>
      <c r="E215" s="1" t="str">
        <f>March!J47</f>
        <v>Other</v>
      </c>
    </row>
    <row r="216">
      <c r="A216" s="1" t="str">
        <f>March!F48</f>
        <v>963921</v>
      </c>
      <c r="B216" s="1" t="str">
        <f>March!G48</f>
        <v>03/20/2023</v>
      </c>
      <c r="C216" s="1" t="str">
        <f>March!H48</f>
        <v>9/8/2011</v>
      </c>
      <c r="D216" s="1" t="str">
        <f>March!I48</f>
        <v>Gold</v>
      </c>
      <c r="E216" s="1" t="str">
        <f>March!J48</f>
        <v>Black</v>
      </c>
    </row>
    <row r="217">
      <c r="A217" s="1" t="str">
        <f>March!F49</f>
        <v>393185</v>
      </c>
      <c r="B217" s="1" t="str">
        <f>March!G49</f>
        <v>03/5/2023</v>
      </c>
      <c r="C217" s="1" t="str">
        <f>March!H49</f>
        <v>8/11/1967</v>
      </c>
      <c r="D217" s="1" t="str">
        <f>March!I49</f>
        <v>Gold</v>
      </c>
      <c r="E217" s="1" t="str">
        <f>March!J49</f>
        <v>Black</v>
      </c>
    </row>
    <row r="218">
      <c r="A218" s="1" t="str">
        <f>March!F50</f>
        <v>535509</v>
      </c>
      <c r="B218" s="1" t="str">
        <f>March!G50</f>
        <v>03/10/2023</v>
      </c>
      <c r="C218" s="1" t="str">
        <f>March!H50</f>
        <v>9/11/2019</v>
      </c>
      <c r="D218" s="1" t="str">
        <f>March!I50</f>
        <v>Platinum</v>
      </c>
      <c r="E218" s="1" t="str">
        <f>March!J50</f>
        <v>Other</v>
      </c>
    </row>
    <row r="219">
      <c r="A219" s="1" t="str">
        <f>March!F51</f>
        <v>178058</v>
      </c>
      <c r="B219" s="1" t="str">
        <f>March!G51</f>
        <v>03/29/2023</v>
      </c>
      <c r="C219" s="1" t="str">
        <f>March!H51</f>
        <v>1/1/1988</v>
      </c>
      <c r="D219" s="1" t="str">
        <f>March!I51</f>
        <v>Gold</v>
      </c>
      <c r="E219" s="1" t="str">
        <f>March!J51</f>
        <v>Black</v>
      </c>
    </row>
    <row r="220">
      <c r="A220" s="1" t="str">
        <f>March!F52</f>
        <v>167376</v>
      </c>
      <c r="B220" s="1" t="str">
        <f>March!G52</f>
        <v>03/26/2023</v>
      </c>
      <c r="C220" s="1" t="str">
        <f>March!H52</f>
        <v>6/25/2004</v>
      </c>
      <c r="D220" s="1" t="str">
        <f>March!I52</f>
        <v>Basic</v>
      </c>
      <c r="E220" s="1" t="str">
        <f>March!J52</f>
        <v>Black</v>
      </c>
    </row>
    <row r="221">
      <c r="A221" s="1" t="str">
        <f>March!F53</f>
        <v>528606</v>
      </c>
      <c r="B221" s="1" t="str">
        <f>March!G53</f>
        <v>03/13/2023</v>
      </c>
      <c r="C221" s="1" t="str">
        <f>March!H53</f>
        <v>12/3/2014</v>
      </c>
      <c r="D221" s="1" t="str">
        <f>March!I53</f>
        <v>Basic</v>
      </c>
      <c r="E221" s="1" t="str">
        <f>March!J53</f>
        <v>Other</v>
      </c>
    </row>
    <row r="222">
      <c r="A222" s="1" t="str">
        <f>March!F54</f>
        <v>676797</v>
      </c>
      <c r="B222" s="1" t="str">
        <f>March!G54</f>
        <v>03/3/2023</v>
      </c>
      <c r="C222" s="1" t="str">
        <f>March!H54</f>
        <v>11/3/1986</v>
      </c>
      <c r="D222" s="1" t="str">
        <f>March!I54</f>
        <v>Gold</v>
      </c>
      <c r="E222" s="1" t="str">
        <f>March!J54</f>
        <v>Asian</v>
      </c>
    </row>
    <row r="223">
      <c r="A223" s="1" t="str">
        <f>March!F55</f>
        <v>125458</v>
      </c>
      <c r="B223" s="1" t="str">
        <f>March!G55</f>
        <v>03/25/2023</v>
      </c>
      <c r="C223" s="1" t="str">
        <f>March!H55</f>
        <v>6/23/1960</v>
      </c>
      <c r="D223" s="1" t="str">
        <f>March!I55</f>
        <v>Basic</v>
      </c>
      <c r="E223" s="1" t="str">
        <f>March!J55</f>
        <v>Other</v>
      </c>
    </row>
    <row r="224">
      <c r="A224" s="1" t="str">
        <f>March!F56</f>
        <v>932133</v>
      </c>
      <c r="B224" s="1" t="str">
        <f>March!G56</f>
        <v>03/25/2023</v>
      </c>
      <c r="C224" s="1" t="str">
        <f>March!H56</f>
        <v>9/22/1944</v>
      </c>
      <c r="D224" s="1" t="str">
        <f>March!I56</f>
        <v>Basic</v>
      </c>
      <c r="E224" s="1" t="str">
        <f>March!J56</f>
        <v>Black</v>
      </c>
    </row>
    <row r="225">
      <c r="A225" s="1" t="str">
        <f>March!F57</f>
        <v>582577</v>
      </c>
      <c r="B225" s="1" t="str">
        <f>March!G57</f>
        <v>03/11/2023</v>
      </c>
      <c r="C225" s="1" t="str">
        <f>March!H57</f>
        <v>1/24/1999</v>
      </c>
      <c r="D225" s="1" t="str">
        <f>March!I57</f>
        <v>Gold</v>
      </c>
      <c r="E225" s="1" t="str">
        <f>March!J57</f>
        <v>Black</v>
      </c>
    </row>
    <row r="226">
      <c r="A226" s="1" t="str">
        <f>March!F58</f>
        <v>714124</v>
      </c>
      <c r="B226" s="1" t="str">
        <f>March!G58</f>
        <v>03/7/2023</v>
      </c>
      <c r="C226" s="1" t="str">
        <f>March!H58</f>
        <v>12/24/1986</v>
      </c>
      <c r="D226" s="1" t="str">
        <f>March!I58</f>
        <v>Platinum</v>
      </c>
      <c r="E226" s="1" t="str">
        <f>March!J58</f>
        <v>Other</v>
      </c>
    </row>
    <row r="227">
      <c r="A227" s="1" t="str">
        <f>March!F59</f>
        <v>132163</v>
      </c>
      <c r="B227" s="1" t="str">
        <f>March!G59</f>
        <v>03/29/2023</v>
      </c>
      <c r="C227" s="1" t="str">
        <f>March!H59</f>
        <v>8/19/2019</v>
      </c>
      <c r="D227" s="1" t="str">
        <f>March!I59</f>
        <v>Basic</v>
      </c>
      <c r="E227" s="1" t="str">
        <f>March!J59</f>
        <v>White</v>
      </c>
    </row>
    <row r="228">
      <c r="A228" s="1" t="str">
        <f>March!F60</f>
        <v>527900</v>
      </c>
      <c r="B228" s="1" t="str">
        <f>March!G60</f>
        <v>03/20/2023</v>
      </c>
      <c r="C228" s="1" t="str">
        <f>March!H60</f>
        <v>10/11/1952</v>
      </c>
      <c r="D228" s="1" t="str">
        <f>March!I60</f>
        <v>Gold</v>
      </c>
      <c r="E228" s="1" t="str">
        <f>March!J60</f>
        <v>Black</v>
      </c>
    </row>
    <row r="229">
      <c r="A229" s="1" t="str">
        <f>March!F61</f>
        <v>446540</v>
      </c>
      <c r="B229" s="1" t="str">
        <f>March!G61</f>
        <v>03/28/2023</v>
      </c>
      <c r="C229" s="1" t="str">
        <f>March!H61</f>
        <v>7/22/1950</v>
      </c>
      <c r="D229" s="1" t="str">
        <f>March!I61</f>
        <v>Basic</v>
      </c>
      <c r="E229" s="1" t="str">
        <f>March!J61</f>
        <v>Other</v>
      </c>
    </row>
    <row r="230">
      <c r="A230" s="1" t="str">
        <f>March!F62</f>
        <v>571428</v>
      </c>
      <c r="B230" s="1" t="str">
        <f>March!G62</f>
        <v>03/8/2023</v>
      </c>
      <c r="C230" s="1" t="str">
        <f>March!H62</f>
        <v>6/23/1965</v>
      </c>
      <c r="D230" s="1" t="str">
        <f>March!I62</f>
        <v>Platinum</v>
      </c>
      <c r="E230" s="1" t="str">
        <f>March!J62</f>
        <v>Black</v>
      </c>
    </row>
    <row r="231">
      <c r="A231" s="1" t="str">
        <f>March!F63</f>
        <v>258885</v>
      </c>
      <c r="B231" s="1" t="str">
        <f>March!G63</f>
        <v>03/12/2023</v>
      </c>
      <c r="C231" s="1" t="str">
        <f>March!H63</f>
        <v>3/16/1943</v>
      </c>
      <c r="D231" s="1" t="str">
        <f>March!I63</f>
        <v>Basic</v>
      </c>
      <c r="E231" s="1" t="str">
        <f>March!J63</f>
        <v>Black</v>
      </c>
    </row>
    <row r="232">
      <c r="A232" s="1" t="str">
        <f>March!F64</f>
        <v>859391</v>
      </c>
      <c r="B232" s="1" t="str">
        <f>March!G64</f>
        <v>03/15/2023</v>
      </c>
      <c r="C232" s="1" t="str">
        <f>March!H64</f>
        <v>4/11/1999</v>
      </c>
      <c r="D232" s="1" t="str">
        <f>March!I64</f>
        <v>Platinum</v>
      </c>
      <c r="E232" s="1" t="str">
        <f>March!J64</f>
        <v>Black</v>
      </c>
    </row>
    <row r="233">
      <c r="A233" s="1" t="str">
        <f>March!F65</f>
        <v>606785</v>
      </c>
      <c r="B233" s="1" t="str">
        <f>March!G65</f>
        <v>03/16/2023</v>
      </c>
      <c r="C233" s="1" t="str">
        <f>March!H65</f>
        <v>8/11/1968</v>
      </c>
      <c r="D233" s="1" t="str">
        <f>March!I65</f>
        <v>Basic</v>
      </c>
      <c r="E233" s="1" t="str">
        <f>March!J65</f>
        <v>White</v>
      </c>
    </row>
    <row r="234">
      <c r="A234" s="1" t="str">
        <f>March!F66</f>
        <v>973103</v>
      </c>
      <c r="B234" s="1" t="str">
        <f>March!G66</f>
        <v>03/19/2023</v>
      </c>
      <c r="C234" s="1" t="str">
        <f>March!H66</f>
        <v>3/29/1942</v>
      </c>
      <c r="D234" s="1" t="str">
        <f>March!I66</f>
        <v>Platinum</v>
      </c>
      <c r="E234" s="1" t="str">
        <f>March!J66</f>
        <v>Asian</v>
      </c>
    </row>
    <row r="235">
      <c r="A235" s="1" t="str">
        <f>March!F67</f>
        <v>513032</v>
      </c>
      <c r="B235" s="1" t="str">
        <f>March!G67</f>
        <v>03/26/2023</v>
      </c>
      <c r="C235" s="1" t="str">
        <f>March!H67</f>
        <v>1/12/1973</v>
      </c>
      <c r="D235" s="1" t="str">
        <f>March!I67</f>
        <v>Basic</v>
      </c>
      <c r="E235" s="1" t="str">
        <f>March!J67</f>
        <v>White</v>
      </c>
    </row>
    <row r="236">
      <c r="A236" s="1" t="str">
        <f>March!F68</f>
        <v>499282</v>
      </c>
      <c r="B236" s="1" t="str">
        <f>March!G68</f>
        <v>03/18/2023</v>
      </c>
      <c r="C236" s="1" t="str">
        <f>March!H68</f>
        <v>6/14/2019</v>
      </c>
      <c r="D236" s="1" t="str">
        <f>March!I68</f>
        <v>Platinum</v>
      </c>
      <c r="E236" s="1" t="str">
        <f>March!J68</f>
        <v>Other</v>
      </c>
    </row>
    <row r="237">
      <c r="A237" s="1" t="str">
        <f>March!F69</f>
        <v>845839</v>
      </c>
      <c r="B237" s="1" t="str">
        <f>March!G69</f>
        <v>03/17/2023</v>
      </c>
      <c r="C237" s="1" t="str">
        <f>March!H69</f>
        <v>5/29/1979</v>
      </c>
      <c r="D237" s="1" t="str">
        <f>March!I69</f>
        <v>Platinum</v>
      </c>
      <c r="E237" s="1" t="str">
        <f>March!J69</f>
        <v>Black</v>
      </c>
    </row>
    <row r="238">
      <c r="A238" s="1" t="str">
        <f>March!F70</f>
        <v>725355</v>
      </c>
      <c r="B238" s="1" t="str">
        <f>March!G70</f>
        <v>03/19/2023</v>
      </c>
      <c r="C238" s="1" t="str">
        <f>March!H70</f>
        <v>9/22/1975</v>
      </c>
      <c r="D238" s="1" t="str">
        <f>March!I70</f>
        <v>Gold</v>
      </c>
      <c r="E238" s="1" t="str">
        <f>March!J70</f>
        <v>Asian</v>
      </c>
    </row>
    <row r="239">
      <c r="A239" s="1" t="str">
        <f>March!F71</f>
        <v>667164</v>
      </c>
      <c r="B239" s="1" t="str">
        <f>March!G71</f>
        <v>03/31/2023</v>
      </c>
      <c r="C239" s="1" t="str">
        <f>March!H71</f>
        <v>3/29/1977</v>
      </c>
      <c r="D239" s="1" t="str">
        <f>March!I71</f>
        <v>Gold</v>
      </c>
      <c r="E239" s="1" t="str">
        <f>March!J71</f>
        <v>Other</v>
      </c>
    </row>
    <row r="240">
      <c r="A240" s="1" t="str">
        <f>March!F72</f>
        <v>618265</v>
      </c>
      <c r="B240" s="1" t="str">
        <f>March!G72</f>
        <v>03/3/2023</v>
      </c>
      <c r="C240" s="1" t="str">
        <f>March!H72</f>
        <v>5/31/1945</v>
      </c>
      <c r="D240" s="1" t="str">
        <f>March!I72</f>
        <v>Basic</v>
      </c>
      <c r="E240" s="1" t="str">
        <f>March!J72</f>
        <v>Black</v>
      </c>
    </row>
    <row r="241">
      <c r="A241" s="1" t="str">
        <f>March!F73</f>
        <v>731691</v>
      </c>
      <c r="B241" s="1" t="str">
        <f>March!G73</f>
        <v>03/16/2023</v>
      </c>
      <c r="C241" s="1" t="str">
        <f>March!H73</f>
        <v>7/29/1951</v>
      </c>
      <c r="D241" s="1" t="str">
        <f>March!I73</f>
        <v>Platinum</v>
      </c>
      <c r="E241" s="1" t="str">
        <f>March!J73</f>
        <v>Black</v>
      </c>
    </row>
    <row r="242">
      <c r="A242" s="1" t="str">
        <f>March!F74</f>
        <v>832052</v>
      </c>
      <c r="B242" s="1" t="str">
        <f>March!G74</f>
        <v>03/12/2023</v>
      </c>
      <c r="C242" s="1" t="str">
        <f>March!H74</f>
        <v>8/21/1981</v>
      </c>
      <c r="D242" s="1" t="str">
        <f>March!I74</f>
        <v>Basic</v>
      </c>
      <c r="E242" s="1" t="str">
        <f>March!J74</f>
        <v>Black</v>
      </c>
    </row>
    <row r="243">
      <c r="A243" s="1" t="str">
        <f>March!F75</f>
        <v>296100</v>
      </c>
      <c r="B243" s="1" t="str">
        <f>March!G75</f>
        <v>03/19/2023</v>
      </c>
      <c r="C243" s="1" t="str">
        <f>March!H75</f>
        <v>10/22/1991</v>
      </c>
      <c r="D243" s="1" t="str">
        <f>March!I75</f>
        <v>Gold</v>
      </c>
      <c r="E243" s="1" t="str">
        <f>March!J75</f>
        <v>Other</v>
      </c>
    </row>
    <row r="244">
      <c r="A244" s="1" t="str">
        <f>March!F76</f>
        <v>894920</v>
      </c>
      <c r="B244" s="1" t="str">
        <f>March!G76</f>
        <v>03/25/2023</v>
      </c>
      <c r="C244" s="1" t="str">
        <f>March!H76</f>
        <v>12/3/1979</v>
      </c>
      <c r="D244" s="1" t="str">
        <f>March!I76</f>
        <v>Platinum</v>
      </c>
      <c r="E244" s="1" t="str">
        <f>March!J76</f>
        <v>White</v>
      </c>
    </row>
    <row r="245">
      <c r="A245" s="1" t="str">
        <f>March!F77</f>
        <v>344685</v>
      </c>
      <c r="B245" s="1" t="str">
        <f>March!G77</f>
        <v>03/10/2023</v>
      </c>
      <c r="C245" s="1" t="str">
        <f>March!H77</f>
        <v>1/6/1990</v>
      </c>
      <c r="D245" s="1" t="str">
        <f>March!I77</f>
        <v>Gold</v>
      </c>
      <c r="E245" s="1" t="str">
        <f>March!J77</f>
        <v>Asian</v>
      </c>
    </row>
    <row r="246">
      <c r="A246" s="1" t="str">
        <f>March!F78</f>
        <v>968654</v>
      </c>
      <c r="B246" s="1" t="str">
        <f>March!G78</f>
        <v>03/12/2023</v>
      </c>
      <c r="C246" s="1" t="str">
        <f>March!H78</f>
        <v>1/26/1981</v>
      </c>
      <c r="D246" s="1" t="str">
        <f>March!I78</f>
        <v>Gold</v>
      </c>
      <c r="E246" s="1" t="str">
        <f>March!J78</f>
        <v>White</v>
      </c>
    </row>
    <row r="247">
      <c r="A247" s="1" t="str">
        <f>April!F2</f>
        <v>797127</v>
      </c>
      <c r="B247" s="1" t="str">
        <f>April!G2</f>
        <v>04/19/2023</v>
      </c>
      <c r="C247" s="1" t="str">
        <f>April!H2</f>
        <v>6/26/1987</v>
      </c>
      <c r="D247" s="1" t="str">
        <f>April!I2</f>
        <v>Platinum</v>
      </c>
      <c r="E247" s="1" t="str">
        <f>April!J2</f>
        <v>Black</v>
      </c>
    </row>
    <row r="248">
      <c r="A248" s="1" t="str">
        <f>April!F3</f>
        <v>282672</v>
      </c>
      <c r="B248" s="1" t="str">
        <f>April!G3</f>
        <v>04/9/2023</v>
      </c>
      <c r="C248" s="1" t="str">
        <f>April!H3</f>
        <v>7/20/1991</v>
      </c>
      <c r="D248" s="1" t="str">
        <f>April!I3</f>
        <v>Platinum</v>
      </c>
      <c r="E248" s="1" t="str">
        <f>April!J3</f>
        <v>Black</v>
      </c>
    </row>
    <row r="249">
      <c r="A249" s="1" t="str">
        <f>April!F4</f>
        <v>339687</v>
      </c>
      <c r="B249" s="1" t="str">
        <f>April!G4</f>
        <v>04/9/2023</v>
      </c>
      <c r="C249" s="1" t="str">
        <f>April!H4</f>
        <v>11/29/1946</v>
      </c>
      <c r="D249" s="1" t="str">
        <f>April!I4</f>
        <v>Basic</v>
      </c>
      <c r="E249" s="1" t="str">
        <f>April!J4</f>
        <v>White</v>
      </c>
    </row>
    <row r="250">
      <c r="A250" s="1" t="str">
        <f>April!F5</f>
        <v>818135</v>
      </c>
      <c r="B250" s="1" t="str">
        <f>April!G5</f>
        <v>04/3/2023</v>
      </c>
      <c r="C250" s="1" t="str">
        <f>April!H5</f>
        <v>4/11/1954</v>
      </c>
      <c r="D250" s="1" t="str">
        <f>April!I5</f>
        <v>Gold</v>
      </c>
      <c r="E250" s="1" t="str">
        <f>April!J5</f>
        <v>Asian</v>
      </c>
    </row>
    <row r="251">
      <c r="A251" s="1" t="str">
        <f>April!F6</f>
        <v>192505</v>
      </c>
      <c r="B251" s="1" t="str">
        <f>April!G6</f>
        <v>04/6/2023</v>
      </c>
      <c r="C251" s="1" t="str">
        <f>April!H6</f>
        <v>10/15/1966</v>
      </c>
      <c r="D251" s="1" t="str">
        <f>April!I6</f>
        <v>Platinum</v>
      </c>
      <c r="E251" s="1" t="str">
        <f>April!J6</f>
        <v>White</v>
      </c>
    </row>
    <row r="252">
      <c r="A252" s="1" t="str">
        <f>April!F7</f>
        <v>669663</v>
      </c>
      <c r="B252" s="1" t="str">
        <f>April!G7</f>
        <v>04/20/2023</v>
      </c>
      <c r="C252" s="1" t="str">
        <f>April!H7</f>
        <v>6/2/1994</v>
      </c>
      <c r="D252" s="1" t="str">
        <f>April!I7</f>
        <v>Gold</v>
      </c>
      <c r="E252" s="1" t="str">
        <f>April!J7</f>
        <v>White</v>
      </c>
    </row>
    <row r="253">
      <c r="A253" s="1" t="str">
        <f>April!F8</f>
        <v>604416</v>
      </c>
      <c r="B253" s="1" t="str">
        <f>April!G8</f>
        <v>04/24/2023</v>
      </c>
      <c r="C253" s="1" t="str">
        <f>April!H8</f>
        <v>6/29/2004</v>
      </c>
      <c r="D253" s="1" t="str">
        <f>April!I8</f>
        <v>Gold</v>
      </c>
      <c r="E253" s="1" t="str">
        <f>April!J8</f>
        <v>Other</v>
      </c>
    </row>
    <row r="254">
      <c r="A254" s="1" t="str">
        <f>April!F9</f>
        <v>656794</v>
      </c>
      <c r="B254" s="1" t="str">
        <f>April!G9</f>
        <v>04/10/2023</v>
      </c>
      <c r="C254" s="1" t="str">
        <f>April!H9</f>
        <v>10/21/1951</v>
      </c>
      <c r="D254" s="1" t="str">
        <f>April!I9</f>
        <v>Basic</v>
      </c>
      <c r="E254" s="1" t="str">
        <f>April!J9</f>
        <v>Other</v>
      </c>
    </row>
    <row r="255">
      <c r="A255" s="1" t="str">
        <f>April!F10</f>
        <v>954550</v>
      </c>
      <c r="B255" s="1" t="str">
        <f>April!G10</f>
        <v>04/8/2023</v>
      </c>
      <c r="C255" s="1" t="str">
        <f>April!H10</f>
        <v>1/23/1953</v>
      </c>
      <c r="D255" s="1" t="str">
        <f>April!I10</f>
        <v>Gold</v>
      </c>
      <c r="E255" s="1" t="str">
        <f>April!J10</f>
        <v>Black</v>
      </c>
    </row>
    <row r="256">
      <c r="A256" s="1" t="str">
        <f>April!F11</f>
        <v>255005</v>
      </c>
      <c r="B256" s="1" t="str">
        <f>April!G11</f>
        <v>04/8/2023</v>
      </c>
      <c r="C256" s="1" t="str">
        <f>April!H11</f>
        <v>1/4/1941</v>
      </c>
      <c r="D256" s="1" t="str">
        <f>April!I11</f>
        <v>Basic</v>
      </c>
      <c r="E256" s="1" t="str">
        <f>April!J11</f>
        <v>White</v>
      </c>
    </row>
    <row r="257">
      <c r="A257" s="1" t="str">
        <f>April!F12</f>
        <v>104185</v>
      </c>
      <c r="B257" s="1" t="str">
        <f>April!G12</f>
        <v>04/25/2023</v>
      </c>
      <c r="C257" s="1" t="str">
        <f>April!H12</f>
        <v>6/8/1989</v>
      </c>
      <c r="D257" s="1" t="str">
        <f>April!I12</f>
        <v>Basic</v>
      </c>
      <c r="E257" s="1" t="str">
        <f>April!J12</f>
        <v>White</v>
      </c>
    </row>
    <row r="258">
      <c r="A258" s="1" t="str">
        <f>April!F13</f>
        <v>637023</v>
      </c>
      <c r="B258" s="1" t="str">
        <f>April!G13</f>
        <v>04/3/2023</v>
      </c>
      <c r="C258" s="1" t="str">
        <f>April!H13</f>
        <v>11/23/1953</v>
      </c>
      <c r="D258" s="1" t="str">
        <f>April!I13</f>
        <v>Platinum</v>
      </c>
      <c r="E258" s="1" t="str">
        <f>April!J13</f>
        <v>Black</v>
      </c>
    </row>
    <row r="259">
      <c r="A259" s="1" t="str">
        <f>April!F14</f>
        <v>184178</v>
      </c>
      <c r="B259" s="1" t="str">
        <f>April!G14</f>
        <v>04/9/2023</v>
      </c>
      <c r="C259" s="1" t="str">
        <f>April!H14</f>
        <v>10/29/1958</v>
      </c>
      <c r="D259" s="1" t="str">
        <f>April!I14</f>
        <v>Basic</v>
      </c>
      <c r="E259" s="1" t="str">
        <f>April!J14</f>
        <v>Asian</v>
      </c>
    </row>
    <row r="260">
      <c r="A260" s="1" t="str">
        <f>April!F15</f>
        <v>708191</v>
      </c>
      <c r="B260" s="1" t="str">
        <f>April!G15</f>
        <v>04/12/2023</v>
      </c>
      <c r="C260" s="1" t="str">
        <f>April!H15</f>
        <v>6/30/1974</v>
      </c>
      <c r="D260" s="1" t="str">
        <f>April!I15</f>
        <v>Basic</v>
      </c>
      <c r="E260" s="1" t="str">
        <f>April!J15</f>
        <v>White</v>
      </c>
    </row>
    <row r="261">
      <c r="A261" s="1" t="str">
        <f>April!F16</f>
        <v>805246</v>
      </c>
      <c r="B261" s="1" t="str">
        <f>April!G16</f>
        <v>04/16/2023</v>
      </c>
      <c r="C261" s="1" t="str">
        <f>April!H16</f>
        <v>7/20/1971</v>
      </c>
      <c r="D261" s="1" t="str">
        <f>April!I16</f>
        <v>Gold</v>
      </c>
      <c r="E261" s="1" t="str">
        <f>April!J16</f>
        <v>Asian</v>
      </c>
    </row>
    <row r="262">
      <c r="A262" s="1" t="str">
        <f>April!F17</f>
        <v>340059</v>
      </c>
      <c r="B262" s="1" t="str">
        <f>April!G17</f>
        <v>04/6/2023</v>
      </c>
      <c r="C262" s="1" t="str">
        <f>April!H17</f>
        <v>1/24/2004</v>
      </c>
      <c r="D262" s="1" t="str">
        <f>April!I17</f>
        <v>Basic</v>
      </c>
      <c r="E262" s="1" t="str">
        <f>April!J17</f>
        <v>White</v>
      </c>
    </row>
    <row r="263">
      <c r="A263" s="1" t="str">
        <f>April!F18</f>
        <v>458824</v>
      </c>
      <c r="B263" s="1" t="str">
        <f>April!G18</f>
        <v>04/19/2023</v>
      </c>
      <c r="C263" s="1" t="str">
        <f>April!H18</f>
        <v>8/3/1967</v>
      </c>
      <c r="D263" s="1" t="str">
        <f>April!I18</f>
        <v>Basic</v>
      </c>
      <c r="E263" s="1" t="str">
        <f>April!J18</f>
        <v>Asian</v>
      </c>
    </row>
    <row r="264">
      <c r="A264" s="1" t="str">
        <f>April!F19</f>
        <v>873760</v>
      </c>
      <c r="B264" s="1" t="str">
        <f>April!G19</f>
        <v>04/26/2023</v>
      </c>
      <c r="C264" s="1" t="str">
        <f>April!H19</f>
        <v>12/31/1980</v>
      </c>
      <c r="D264" s="1" t="str">
        <f>April!I19</f>
        <v>Gold</v>
      </c>
      <c r="E264" s="1" t="str">
        <f>April!J19</f>
        <v>White</v>
      </c>
    </row>
    <row r="265">
      <c r="A265" s="1" t="str">
        <f>April!F20</f>
        <v>134047</v>
      </c>
      <c r="B265" s="1" t="str">
        <f>April!G20</f>
        <v>04/8/2023</v>
      </c>
      <c r="C265" s="1" t="str">
        <f>April!H20</f>
        <v>4/6/1959</v>
      </c>
      <c r="D265" s="1" t="str">
        <f>April!I20</f>
        <v>Basic</v>
      </c>
      <c r="E265" s="1" t="str">
        <f>April!J20</f>
        <v>Black</v>
      </c>
    </row>
    <row r="266">
      <c r="A266" s="1" t="str">
        <f>April!F21</f>
        <v>327751</v>
      </c>
      <c r="B266" s="1" t="str">
        <f>April!G21</f>
        <v>04/27/2023</v>
      </c>
      <c r="C266" s="1" t="str">
        <f>April!H21</f>
        <v>4/26/1984</v>
      </c>
      <c r="D266" s="1" t="str">
        <f>April!I21</f>
        <v>Platinum</v>
      </c>
      <c r="E266" s="1" t="str">
        <f>April!J21</f>
        <v>Asian</v>
      </c>
    </row>
    <row r="267">
      <c r="A267" s="1" t="str">
        <f>April!F22</f>
        <v>302917</v>
      </c>
      <c r="B267" s="1" t="str">
        <f>April!G22</f>
        <v>04/24/2023</v>
      </c>
      <c r="C267" s="1" t="str">
        <f>April!H22</f>
        <v>5/3/1955</v>
      </c>
      <c r="D267" s="1" t="str">
        <f>April!I22</f>
        <v>Gold</v>
      </c>
      <c r="E267" s="1" t="str">
        <f>April!J22</f>
        <v>Other</v>
      </c>
    </row>
    <row r="268">
      <c r="A268" s="1" t="str">
        <f>April!F23</f>
        <v>824009</v>
      </c>
      <c r="B268" s="1" t="str">
        <f>April!G23</f>
        <v>04/27/2023</v>
      </c>
      <c r="C268" s="1" t="str">
        <f>April!H23</f>
        <v>3/27/1989</v>
      </c>
      <c r="D268" s="1" t="str">
        <f>April!I23</f>
        <v>Platinum</v>
      </c>
      <c r="E268" s="1" t="str">
        <f>April!J23</f>
        <v>Black</v>
      </c>
    </row>
    <row r="269">
      <c r="A269" s="1" t="str">
        <f>April!F24</f>
        <v>731240</v>
      </c>
      <c r="B269" s="1" t="str">
        <f>April!G24</f>
        <v>04/4/2023</v>
      </c>
      <c r="C269" s="1" t="str">
        <f>April!H24</f>
        <v>5/8/1951</v>
      </c>
      <c r="D269" s="1" t="str">
        <f>April!I24</f>
        <v>Gold</v>
      </c>
      <c r="E269" s="1" t="str">
        <f>April!J24</f>
        <v>Other</v>
      </c>
    </row>
    <row r="270">
      <c r="A270" s="1" t="str">
        <f>April!F25</f>
        <v>727292</v>
      </c>
      <c r="B270" s="1" t="str">
        <f>April!G25</f>
        <v>04/11/2023</v>
      </c>
      <c r="C270" s="1" t="str">
        <f>April!H25</f>
        <v>1/13/1984</v>
      </c>
      <c r="D270" s="1" t="str">
        <f>April!I25</f>
        <v>Gold</v>
      </c>
      <c r="E270" s="1" t="str">
        <f>April!J25</f>
        <v>Black</v>
      </c>
    </row>
    <row r="271">
      <c r="A271" s="1" t="str">
        <f>April!F26</f>
        <v>385704</v>
      </c>
      <c r="B271" s="1" t="str">
        <f>April!G26</f>
        <v>04/24/2023</v>
      </c>
      <c r="C271" s="1" t="str">
        <f>April!H26</f>
        <v>1/1/1987</v>
      </c>
      <c r="D271" s="1" t="str">
        <f>April!I26</f>
        <v>Basic</v>
      </c>
      <c r="E271" s="1" t="str">
        <f>April!J26</f>
        <v>White</v>
      </c>
    </row>
    <row r="272">
      <c r="A272" s="1" t="str">
        <f>April!F27</f>
        <v>367467</v>
      </c>
      <c r="B272" s="1" t="str">
        <f>April!G27</f>
        <v>04/30/2023</v>
      </c>
      <c r="C272" s="1" t="str">
        <f>April!H27</f>
        <v>1/24/2019</v>
      </c>
      <c r="D272" s="1" t="str">
        <f>April!I27</f>
        <v>Platinum</v>
      </c>
      <c r="E272" s="1" t="str">
        <f>April!J27</f>
        <v>Asian</v>
      </c>
    </row>
    <row r="273">
      <c r="A273" s="1" t="str">
        <f>April!F28</f>
        <v>748215</v>
      </c>
      <c r="B273" s="1" t="str">
        <f>April!G28</f>
        <v>04/25/2023</v>
      </c>
      <c r="C273" s="1" t="str">
        <f>April!H28</f>
        <v>5/1/2013</v>
      </c>
      <c r="D273" s="1" t="str">
        <f>April!I28</f>
        <v>Gold</v>
      </c>
      <c r="E273" s="1" t="str">
        <f>April!J28</f>
        <v>Black</v>
      </c>
    </row>
    <row r="274">
      <c r="A274" s="1" t="str">
        <f>April!F29</f>
        <v>549509</v>
      </c>
      <c r="B274" s="1" t="str">
        <f>April!G29</f>
        <v>04/2/2023</v>
      </c>
      <c r="C274" s="1" t="str">
        <f>April!H29</f>
        <v>4/13/1970</v>
      </c>
      <c r="D274" s="1" t="str">
        <f>April!I29</f>
        <v>Gold</v>
      </c>
      <c r="E274" s="1" t="str">
        <f>April!J29</f>
        <v>White</v>
      </c>
    </row>
    <row r="275">
      <c r="A275" s="1" t="str">
        <f>April!F30</f>
        <v>856901</v>
      </c>
      <c r="B275" s="1" t="str">
        <f>April!G30</f>
        <v>04/2/2023</v>
      </c>
      <c r="C275" s="1" t="str">
        <f>April!H30</f>
        <v>10/21/1941</v>
      </c>
      <c r="D275" s="1" t="str">
        <f>April!I30</f>
        <v>Basic</v>
      </c>
      <c r="E275" s="1" t="str">
        <f>April!J30</f>
        <v>Other</v>
      </c>
    </row>
    <row r="276">
      <c r="A276" s="1" t="str">
        <f>April!F31</f>
        <v>614858</v>
      </c>
      <c r="B276" s="1" t="str">
        <f>April!G31</f>
        <v>04/10/2023</v>
      </c>
      <c r="C276" s="1" t="str">
        <f>April!H31</f>
        <v>3/24/1977</v>
      </c>
      <c r="D276" s="1" t="str">
        <f>April!I31</f>
        <v>Basic</v>
      </c>
      <c r="E276" s="1" t="str">
        <f>April!J31</f>
        <v>Other</v>
      </c>
    </row>
    <row r="277">
      <c r="A277" s="1" t="str">
        <f>April!F32</f>
        <v>130206</v>
      </c>
      <c r="B277" s="1" t="str">
        <f>April!G32</f>
        <v>04/10/2023</v>
      </c>
      <c r="C277" s="1" t="str">
        <f>April!H32</f>
        <v>3/19/1972</v>
      </c>
      <c r="D277" s="1" t="str">
        <f>April!I32</f>
        <v>Gold</v>
      </c>
      <c r="E277" s="1" t="str">
        <f>April!J32</f>
        <v>Asian</v>
      </c>
    </row>
    <row r="278">
      <c r="A278" s="1" t="str">
        <f>April!F33</f>
        <v>553320</v>
      </c>
      <c r="B278" s="1" t="str">
        <f>April!G33</f>
        <v>04/13/2023</v>
      </c>
      <c r="C278" s="1" t="str">
        <f>April!H33</f>
        <v>3/19/1952</v>
      </c>
      <c r="D278" s="1" t="str">
        <f>April!I33</f>
        <v>Gold</v>
      </c>
      <c r="E278" s="1" t="str">
        <f>April!J33</f>
        <v>Asian</v>
      </c>
    </row>
    <row r="279">
      <c r="A279" s="1" t="str">
        <f>April!F34</f>
        <v>285157</v>
      </c>
      <c r="B279" s="1" t="str">
        <f>April!G34</f>
        <v>04/21/2023</v>
      </c>
      <c r="C279" s="1" t="str">
        <f>April!H34</f>
        <v>1/16/2010</v>
      </c>
      <c r="D279" s="1" t="str">
        <f>April!I34</f>
        <v>Gold</v>
      </c>
      <c r="E279" s="1" t="str">
        <f>April!J34</f>
        <v>Asian</v>
      </c>
    </row>
    <row r="280">
      <c r="A280" s="1" t="str">
        <f>April!F35</f>
        <v>478687</v>
      </c>
      <c r="B280" s="1" t="str">
        <f>April!G35</f>
        <v>04/5/2023</v>
      </c>
      <c r="C280" s="1" t="str">
        <f>April!H35</f>
        <v>5/13/1999</v>
      </c>
      <c r="D280" s="1" t="str">
        <f>April!I35</f>
        <v>Platinum</v>
      </c>
      <c r="E280" s="1" t="str">
        <f>April!J35</f>
        <v>White</v>
      </c>
    </row>
    <row r="281">
      <c r="A281" s="1" t="str">
        <f>April!F36</f>
        <v>911471</v>
      </c>
      <c r="B281" s="1" t="str">
        <f>April!G36</f>
        <v>04/5/2023</v>
      </c>
      <c r="C281" s="1" t="str">
        <f>April!H36</f>
        <v>1/11/2007</v>
      </c>
      <c r="D281" s="1" t="str">
        <f>April!I36</f>
        <v>Basic</v>
      </c>
      <c r="E281" s="1" t="str">
        <f>April!J36</f>
        <v>White</v>
      </c>
    </row>
    <row r="282">
      <c r="A282" s="1" t="str">
        <f>April!F37</f>
        <v>402150</v>
      </c>
      <c r="B282" s="1" t="str">
        <f>April!G37</f>
        <v>04/19/2023</v>
      </c>
      <c r="C282" s="1" t="str">
        <f>April!H37</f>
        <v>10/14/1970</v>
      </c>
      <c r="D282" s="1" t="str">
        <f>April!I37</f>
        <v>Platinum</v>
      </c>
      <c r="E282" s="1" t="str">
        <f>April!J37</f>
        <v>Other</v>
      </c>
    </row>
    <row r="283">
      <c r="A283" s="1" t="str">
        <f>April!F38</f>
        <v>919470</v>
      </c>
      <c r="B283" s="1" t="str">
        <f>April!G38</f>
        <v>04/27/2023</v>
      </c>
      <c r="C283" s="1" t="str">
        <f>April!H38</f>
        <v>10/9/1949</v>
      </c>
      <c r="D283" s="1" t="str">
        <f>April!I38</f>
        <v>Basic</v>
      </c>
      <c r="E283" s="1" t="str">
        <f>April!J38</f>
        <v>Other</v>
      </c>
    </row>
    <row r="284">
      <c r="A284" s="1" t="str">
        <f>April!F39</f>
        <v>654694</v>
      </c>
      <c r="B284" s="1" t="str">
        <f>April!G39</f>
        <v>04/30/2023</v>
      </c>
      <c r="C284" s="1" t="str">
        <f>April!H39</f>
        <v>8/13/1985</v>
      </c>
      <c r="D284" s="1" t="str">
        <f>April!I39</f>
        <v>Platinum</v>
      </c>
      <c r="E284" s="1" t="str">
        <f>April!J39</f>
        <v>Other</v>
      </c>
    </row>
    <row r="285">
      <c r="A285" s="1" t="str">
        <f>April!F40</f>
        <v>984067</v>
      </c>
      <c r="B285" s="1" t="str">
        <f>April!G40</f>
        <v>04/22/2023</v>
      </c>
      <c r="C285" s="1" t="str">
        <f>April!H40</f>
        <v>4/9/1958</v>
      </c>
      <c r="D285" s="1" t="str">
        <f>April!I40</f>
        <v>Basic</v>
      </c>
      <c r="E285" s="1" t="str">
        <f>April!J40</f>
        <v>Black</v>
      </c>
    </row>
    <row r="286">
      <c r="A286" s="1" t="str">
        <f>April!F41</f>
        <v>871141</v>
      </c>
      <c r="B286" s="1" t="str">
        <f>April!G41</f>
        <v>04/16/2023</v>
      </c>
      <c r="C286" s="1" t="str">
        <f>April!H41</f>
        <v>2/24/1944</v>
      </c>
      <c r="D286" s="1" t="str">
        <f>April!I41</f>
        <v>Basic</v>
      </c>
      <c r="E286" s="1" t="str">
        <f>April!J41</f>
        <v>Other</v>
      </c>
    </row>
    <row r="287">
      <c r="A287" s="1" t="str">
        <f>April!F42</f>
        <v>638662</v>
      </c>
      <c r="B287" s="1" t="str">
        <f>April!G42</f>
        <v>04/5/2023</v>
      </c>
      <c r="C287" s="1" t="str">
        <f>April!H42</f>
        <v>3/4/2008</v>
      </c>
      <c r="D287" s="1" t="str">
        <f>April!I42</f>
        <v>Basic</v>
      </c>
      <c r="E287" s="1" t="str">
        <f>April!J42</f>
        <v>Black</v>
      </c>
    </row>
    <row r="288">
      <c r="A288" s="1" t="str">
        <f>April!F43</f>
        <v>460507</v>
      </c>
      <c r="B288" s="1" t="str">
        <f>April!G43</f>
        <v>04/28/2023</v>
      </c>
      <c r="C288" s="1" t="str">
        <f>April!H43</f>
        <v>10/28/1945</v>
      </c>
      <c r="D288" s="1" t="str">
        <f>April!I43</f>
        <v>Platinum</v>
      </c>
      <c r="E288" s="1" t="str">
        <f>April!J43</f>
        <v>White</v>
      </c>
    </row>
    <row r="289">
      <c r="A289" s="1" t="str">
        <f>April!F44</f>
        <v>467374</v>
      </c>
      <c r="B289" s="1" t="str">
        <f>April!G44</f>
        <v>04/24/2023</v>
      </c>
      <c r="C289" s="1" t="str">
        <f>April!H44</f>
        <v>1/3/2006</v>
      </c>
      <c r="D289" s="1" t="str">
        <f>April!I44</f>
        <v>Gold</v>
      </c>
      <c r="E289" s="1" t="str">
        <f>April!J44</f>
        <v>Black</v>
      </c>
    </row>
    <row r="290">
      <c r="A290" s="1" t="str">
        <f>April!F45</f>
        <v>431328</v>
      </c>
      <c r="B290" s="1" t="str">
        <f>April!G45</f>
        <v>04/27/2023</v>
      </c>
      <c r="C290" s="1" t="str">
        <f>April!H45</f>
        <v>5/30/1970</v>
      </c>
      <c r="D290" s="1" t="str">
        <f>April!I45</f>
        <v>Platinum</v>
      </c>
      <c r="E290" s="1" t="str">
        <f>April!J45</f>
        <v>Black</v>
      </c>
    </row>
    <row r="291">
      <c r="A291" s="1" t="str">
        <f>April!F46</f>
        <v>166090</v>
      </c>
      <c r="B291" s="1" t="str">
        <f>April!G46</f>
        <v>04/1/2023</v>
      </c>
      <c r="C291" s="1" t="str">
        <f>April!H46</f>
        <v>2/4/2016</v>
      </c>
      <c r="D291" s="1" t="str">
        <f>April!I46</f>
        <v>Platinum</v>
      </c>
      <c r="E291" s="1" t="str">
        <f>April!J46</f>
        <v>Black</v>
      </c>
    </row>
    <row r="292">
      <c r="A292" s="1" t="str">
        <f>April!F47</f>
        <v>506688</v>
      </c>
      <c r="B292" s="1" t="str">
        <f>April!G47</f>
        <v>04/29/2023</v>
      </c>
      <c r="C292" s="1" t="str">
        <f>April!H47</f>
        <v>9/29/2015</v>
      </c>
      <c r="D292" s="1" t="str">
        <f>April!I47</f>
        <v>Gold</v>
      </c>
      <c r="E292" s="1" t="str">
        <f>April!J47</f>
        <v>Asian</v>
      </c>
    </row>
    <row r="293">
      <c r="A293" s="1" t="str">
        <f>April!F48</f>
        <v>675627</v>
      </c>
      <c r="B293" s="1" t="str">
        <f>April!G48</f>
        <v>04/18/2023</v>
      </c>
      <c r="C293" s="1" t="str">
        <f>April!H48</f>
        <v>8/17/1968</v>
      </c>
      <c r="D293" s="1" t="str">
        <f>April!I48</f>
        <v>Gold</v>
      </c>
      <c r="E293" s="1" t="str">
        <f>April!J48</f>
        <v>Other</v>
      </c>
    </row>
    <row r="294">
      <c r="A294" s="1" t="str">
        <f>April!F49</f>
        <v>771144</v>
      </c>
      <c r="B294" s="1" t="str">
        <f>April!G49</f>
        <v>04/8/2023</v>
      </c>
      <c r="C294" s="1" t="str">
        <f>April!H49</f>
        <v>10/21/1962</v>
      </c>
      <c r="D294" s="1" t="str">
        <f>April!I49</f>
        <v>Basic</v>
      </c>
      <c r="E294" s="1" t="str">
        <f>April!J49</f>
        <v>Asian</v>
      </c>
    </row>
    <row r="295">
      <c r="A295" s="1" t="str">
        <f>April!F50</f>
        <v>991305</v>
      </c>
      <c r="B295" s="1" t="str">
        <f>April!G50</f>
        <v>04/16/2023</v>
      </c>
      <c r="C295" s="1" t="str">
        <f>April!H50</f>
        <v>10/30/1986</v>
      </c>
      <c r="D295" s="1" t="str">
        <f>April!I50</f>
        <v>Platinum</v>
      </c>
      <c r="E295" s="1" t="str">
        <f>April!J50</f>
        <v>Other</v>
      </c>
    </row>
    <row r="296">
      <c r="A296" s="1" t="str">
        <f>April!F51</f>
        <v>663516</v>
      </c>
      <c r="B296" s="1" t="str">
        <f>April!G51</f>
        <v>04/25/2023</v>
      </c>
      <c r="C296" s="1" t="str">
        <f>April!H51</f>
        <v>11/7/1996</v>
      </c>
      <c r="D296" s="1" t="str">
        <f>April!I51</f>
        <v>Gold</v>
      </c>
      <c r="E296" s="1" t="str">
        <f>April!J51</f>
        <v>Other</v>
      </c>
    </row>
    <row r="297">
      <c r="A297" s="1" t="str">
        <f>April!F52</f>
        <v>514864</v>
      </c>
      <c r="B297" s="1" t="str">
        <f>April!G52</f>
        <v>04/24/2023</v>
      </c>
      <c r="C297" s="1" t="str">
        <f>April!H52</f>
        <v>2/19/1965</v>
      </c>
      <c r="D297" s="1" t="str">
        <f>April!I52</f>
        <v>Platinum</v>
      </c>
      <c r="E297" s="1" t="str">
        <f>April!J52</f>
        <v>Other</v>
      </c>
    </row>
    <row r="298">
      <c r="A298" s="1" t="str">
        <f>April!F53</f>
        <v>595739</v>
      </c>
      <c r="B298" s="1" t="str">
        <f>April!G53</f>
        <v>04/9/2023</v>
      </c>
      <c r="C298" s="1" t="str">
        <f>April!H53</f>
        <v>6/18/1997</v>
      </c>
      <c r="D298" s="1" t="str">
        <f>April!I53</f>
        <v>Platinum</v>
      </c>
      <c r="E298" s="1" t="str">
        <f>April!J53</f>
        <v>White</v>
      </c>
    </row>
    <row r="299">
      <c r="A299" s="1" t="str">
        <f>April!F54</f>
        <v>285940</v>
      </c>
      <c r="B299" s="1" t="str">
        <f>April!G54</f>
        <v>04/2/2023</v>
      </c>
      <c r="C299" s="1" t="str">
        <f>April!H54</f>
        <v>6/3/2017</v>
      </c>
      <c r="D299" s="1" t="str">
        <f>April!I54</f>
        <v>Platinum</v>
      </c>
      <c r="E299" s="1" t="str">
        <f>April!J54</f>
        <v>Black</v>
      </c>
    </row>
    <row r="300">
      <c r="A300" s="1" t="str">
        <f>April!F55</f>
        <v>982585</v>
      </c>
      <c r="B300" s="1" t="str">
        <f>April!G55</f>
        <v>04/11/2023</v>
      </c>
      <c r="C300" s="1" t="str">
        <f>April!H55</f>
        <v>2/7/2016</v>
      </c>
      <c r="D300" s="1" t="str">
        <f>April!I55</f>
        <v>Gold</v>
      </c>
      <c r="E300" s="1" t="str">
        <f>April!J55</f>
        <v>Black</v>
      </c>
    </row>
    <row r="301">
      <c r="A301" s="1" t="str">
        <f>April!F56</f>
        <v>101515</v>
      </c>
      <c r="B301" s="1" t="str">
        <f>April!G56</f>
        <v>04/14/2023</v>
      </c>
      <c r="C301" s="1" t="str">
        <f>April!H56</f>
        <v>8/11/1974</v>
      </c>
      <c r="D301" s="1" t="str">
        <f>April!I56</f>
        <v>Gold</v>
      </c>
      <c r="E301" s="1" t="str">
        <f>April!J56</f>
        <v>Black</v>
      </c>
    </row>
    <row r="302">
      <c r="A302" s="1" t="str">
        <f>April!F57</f>
        <v>908478</v>
      </c>
      <c r="B302" s="1" t="str">
        <f>April!G57</f>
        <v>04/25/2023</v>
      </c>
      <c r="C302" s="1" t="str">
        <f>April!H57</f>
        <v>10/5/1941</v>
      </c>
      <c r="D302" s="1" t="str">
        <f>April!I57</f>
        <v>Gold</v>
      </c>
      <c r="E302" s="1" t="str">
        <f>April!J57</f>
        <v>Asian</v>
      </c>
    </row>
    <row r="303">
      <c r="A303" s="1" t="str">
        <f>April!F58</f>
        <v>976803</v>
      </c>
      <c r="B303" s="1" t="str">
        <f>April!G58</f>
        <v>04/14/2023</v>
      </c>
      <c r="C303" s="1" t="str">
        <f>April!H58</f>
        <v>7/11/1940</v>
      </c>
      <c r="D303" s="1" t="str">
        <f>April!I58</f>
        <v>Platinum</v>
      </c>
      <c r="E303" s="1" t="str">
        <f>April!J58</f>
        <v>Black</v>
      </c>
    </row>
    <row r="304">
      <c r="A304" s="1" t="str">
        <f>April!F59</f>
        <v>394262</v>
      </c>
      <c r="B304" s="1" t="str">
        <f>April!G59</f>
        <v>04/6/2023</v>
      </c>
      <c r="C304" s="1" t="str">
        <f>April!H59</f>
        <v>8/29/1961</v>
      </c>
      <c r="D304" s="1" t="str">
        <f>April!I59</f>
        <v>Basic</v>
      </c>
      <c r="E304" s="1" t="str">
        <f>April!J59</f>
        <v>Other</v>
      </c>
    </row>
    <row r="305">
      <c r="A305" s="1" t="str">
        <f>April!F60</f>
        <v>372488</v>
      </c>
      <c r="B305" s="1" t="str">
        <f>April!G60</f>
        <v>04/20/2023</v>
      </c>
      <c r="C305" s="1" t="str">
        <f>April!H60</f>
        <v>7/13/1974</v>
      </c>
      <c r="D305" s="1" t="str">
        <f>April!I60</f>
        <v>Basic</v>
      </c>
      <c r="E305" s="1" t="str">
        <f>April!J60</f>
        <v>Other</v>
      </c>
    </row>
    <row r="306">
      <c r="A306" s="1" t="str">
        <f>April!F61</f>
        <v>915339</v>
      </c>
      <c r="B306" s="1" t="str">
        <f>April!G61</f>
        <v>04/28/2023</v>
      </c>
      <c r="C306" s="1" t="str">
        <f>April!H61</f>
        <v>5/7/1997</v>
      </c>
      <c r="D306" s="1" t="str">
        <f>April!I61</f>
        <v>Gold</v>
      </c>
      <c r="E306" s="1" t="str">
        <f>April!J61</f>
        <v>White</v>
      </c>
    </row>
    <row r="307">
      <c r="A307" s="1" t="str">
        <f>April!F62</f>
        <v>687501</v>
      </c>
      <c r="B307" s="1" t="str">
        <f>April!G62</f>
        <v>04/6/2023</v>
      </c>
      <c r="C307" s="1" t="str">
        <f>April!H62</f>
        <v>8/21/1976</v>
      </c>
      <c r="D307" s="1" t="str">
        <f>April!I62</f>
        <v>Platinum</v>
      </c>
      <c r="E307" s="1" t="str">
        <f>April!J62</f>
        <v>Black</v>
      </c>
    </row>
    <row r="308">
      <c r="A308" s="1" t="str">
        <f>April!F63</f>
        <v>181477</v>
      </c>
      <c r="B308" s="1" t="str">
        <f>April!G63</f>
        <v>04/12/2023</v>
      </c>
      <c r="C308" s="1" t="str">
        <f>April!H63</f>
        <v>8/22/1984</v>
      </c>
      <c r="D308" s="1" t="str">
        <f>April!I63</f>
        <v>Gold</v>
      </c>
      <c r="E308" s="1" t="str">
        <f>April!J63</f>
        <v>Black</v>
      </c>
    </row>
    <row r="309">
      <c r="A309" s="1" t="str">
        <f>April!F64</f>
        <v>594866</v>
      </c>
      <c r="B309" s="1" t="str">
        <f>April!G64</f>
        <v>04/7/2023</v>
      </c>
      <c r="C309" s="1" t="str">
        <f>April!H64</f>
        <v>8/19/2004</v>
      </c>
      <c r="D309" s="1" t="str">
        <f>April!I64</f>
        <v>Gold</v>
      </c>
      <c r="E309" s="1" t="str">
        <f>April!J64</f>
        <v>White</v>
      </c>
    </row>
    <row r="310">
      <c r="A310" s="1" t="str">
        <f>April!F65</f>
        <v>347274</v>
      </c>
      <c r="B310" s="1" t="str">
        <f>April!G65</f>
        <v>04/9/2023</v>
      </c>
      <c r="C310" s="1" t="str">
        <f>April!H65</f>
        <v>6/17/1993</v>
      </c>
      <c r="D310" s="1" t="str">
        <f>April!I65</f>
        <v>Basic</v>
      </c>
      <c r="E310" s="1" t="str">
        <f>April!J65</f>
        <v>Black</v>
      </c>
    </row>
    <row r="311">
      <c r="A311" s="1" t="str">
        <f>April!F66</f>
        <v>405909</v>
      </c>
      <c r="B311" s="1" t="str">
        <f>April!G66</f>
        <v>04/13/2023</v>
      </c>
      <c r="C311" s="1" t="str">
        <f>April!H66</f>
        <v>8/27/1979</v>
      </c>
      <c r="D311" s="1" t="str">
        <f>April!I66</f>
        <v>Platinum</v>
      </c>
      <c r="E311" s="1" t="str">
        <f>April!J66</f>
        <v>Asian</v>
      </c>
    </row>
    <row r="312">
      <c r="A312" s="1" t="str">
        <f>April!F67</f>
        <v>284005</v>
      </c>
      <c r="B312" s="1" t="str">
        <f>April!G67</f>
        <v>04/5/2023</v>
      </c>
      <c r="C312" s="1" t="str">
        <f>April!H67</f>
        <v>7/2/1992</v>
      </c>
      <c r="D312" s="1" t="str">
        <f>April!I67</f>
        <v>Basic</v>
      </c>
      <c r="E312" s="1" t="str">
        <f>April!J67</f>
        <v>Asian</v>
      </c>
    </row>
    <row r="313">
      <c r="A313" s="1" t="str">
        <f>April!F68</f>
        <v>287844</v>
      </c>
      <c r="B313" s="1" t="str">
        <f>April!G68</f>
        <v>04/8/2023</v>
      </c>
      <c r="C313" s="1" t="str">
        <f>April!H68</f>
        <v>2/15/1952</v>
      </c>
      <c r="D313" s="1" t="str">
        <f>April!I68</f>
        <v>Basic</v>
      </c>
      <c r="E313" s="1" t="str">
        <f>April!J68</f>
        <v>Other</v>
      </c>
    </row>
    <row r="314">
      <c r="A314" s="1" t="str">
        <f>April!F69</f>
        <v>881176</v>
      </c>
      <c r="B314" s="1" t="str">
        <f>April!G69</f>
        <v>04/25/2023</v>
      </c>
      <c r="C314" s="1" t="str">
        <f>April!H69</f>
        <v>1/18/1979</v>
      </c>
      <c r="D314" s="1" t="str">
        <f>April!I69</f>
        <v>Basic</v>
      </c>
      <c r="E314" s="1" t="str">
        <f>April!J69</f>
        <v>Other</v>
      </c>
    </row>
    <row r="315">
      <c r="A315" s="1" t="str">
        <f>April!F70</f>
        <v>530288</v>
      </c>
      <c r="B315" s="1" t="str">
        <f>April!G70</f>
        <v>04/4/2023</v>
      </c>
      <c r="C315" s="1" t="str">
        <f>April!H70</f>
        <v>8/24/1966</v>
      </c>
      <c r="D315" s="1" t="str">
        <f>April!I70</f>
        <v>Platinum</v>
      </c>
      <c r="E315" s="1" t="str">
        <f>April!J70</f>
        <v>Black</v>
      </c>
    </row>
    <row r="316">
      <c r="A316" s="1" t="str">
        <f>April!F71</f>
        <v>421873</v>
      </c>
      <c r="B316" s="1" t="str">
        <f>April!G71</f>
        <v>04/13/2023</v>
      </c>
      <c r="C316" s="1" t="str">
        <f>April!H71</f>
        <v>5/8/1969</v>
      </c>
      <c r="D316" s="1" t="str">
        <f>April!I71</f>
        <v>Gold</v>
      </c>
      <c r="E316" s="1" t="str">
        <f>April!J71</f>
        <v>Other</v>
      </c>
    </row>
    <row r="317">
      <c r="A317" s="1" t="str">
        <f>April!F72</f>
        <v>701255</v>
      </c>
      <c r="B317" s="1" t="str">
        <f>April!G72</f>
        <v>04/15/2023</v>
      </c>
      <c r="C317" s="1" t="str">
        <f>April!H72</f>
        <v>3/22/1973</v>
      </c>
      <c r="D317" s="1" t="str">
        <f>April!I72</f>
        <v>Gold</v>
      </c>
      <c r="E317" s="1" t="str">
        <f>April!J72</f>
        <v>White</v>
      </c>
    </row>
    <row r="318">
      <c r="A318" s="1" t="str">
        <f>April!F73</f>
        <v>706102</v>
      </c>
      <c r="B318" s="1" t="str">
        <f>April!G73</f>
        <v>04/15/2023</v>
      </c>
      <c r="C318" s="1" t="str">
        <f>April!H73</f>
        <v>6/19/1958</v>
      </c>
      <c r="D318" s="1" t="str">
        <f>April!I73</f>
        <v>Platinum</v>
      </c>
      <c r="E318" s="1" t="str">
        <f>April!J73</f>
        <v>White</v>
      </c>
    </row>
    <row r="319">
      <c r="A319" s="1" t="str">
        <f>April!F74</f>
        <v>226852</v>
      </c>
      <c r="B319" s="1" t="str">
        <f>April!G74</f>
        <v>04/14/2023</v>
      </c>
      <c r="C319" s="1" t="str">
        <f>April!H74</f>
        <v>2/24/2017</v>
      </c>
      <c r="D319" s="1" t="str">
        <f>April!I74</f>
        <v>Platinum</v>
      </c>
      <c r="E319" s="1" t="str">
        <f>April!J74</f>
        <v>Black</v>
      </c>
    </row>
    <row r="320">
      <c r="A320" s="1" t="str">
        <f>April!F75</f>
        <v>451214</v>
      </c>
      <c r="B320" s="1" t="str">
        <f>April!G75</f>
        <v>04/4/2023</v>
      </c>
      <c r="C320" s="1" t="str">
        <f>April!H75</f>
        <v>4/13/1992</v>
      </c>
      <c r="D320" s="1" t="str">
        <f>April!I75</f>
        <v>Platinum</v>
      </c>
      <c r="E320" s="1" t="str">
        <f>April!J75</f>
        <v>White</v>
      </c>
    </row>
    <row r="321">
      <c r="A321" s="1" t="str">
        <f>April!F76</f>
        <v>922365</v>
      </c>
      <c r="B321" s="1" t="str">
        <f>April!G76</f>
        <v>04/13/2023</v>
      </c>
      <c r="C321" s="1" t="str">
        <f>April!H76</f>
        <v>8/11/2011</v>
      </c>
      <c r="D321" s="1" t="str">
        <f>April!I76</f>
        <v>Basic</v>
      </c>
      <c r="E321" s="1" t="str">
        <f>April!J76</f>
        <v>Asian</v>
      </c>
    </row>
    <row r="322">
      <c r="A322" s="1" t="str">
        <f>April!F77</f>
        <v>656164</v>
      </c>
      <c r="B322" s="1" t="str">
        <f>April!G77</f>
        <v>04/2/2023</v>
      </c>
      <c r="C322" s="1" t="str">
        <f>April!H77</f>
        <v>7/22/1956</v>
      </c>
      <c r="D322" s="1" t="str">
        <f>April!I77</f>
        <v>Basic</v>
      </c>
      <c r="E322" s="1" t="str">
        <f>April!J77</f>
        <v>Asian</v>
      </c>
    </row>
    <row r="323">
      <c r="A323" s="1" t="str">
        <f>April!F78</f>
        <v>628443</v>
      </c>
      <c r="B323" s="1" t="str">
        <f>April!G78</f>
        <v>04/29/2023</v>
      </c>
      <c r="C323" s="1" t="str">
        <f>April!H78</f>
        <v>6/22/1970</v>
      </c>
      <c r="D323" s="1" t="str">
        <f>April!I78</f>
        <v>Platinum</v>
      </c>
      <c r="E323" s="1" t="str">
        <f>April!J78</f>
        <v>Other</v>
      </c>
    </row>
    <row r="324">
      <c r="A324" s="1" t="str">
        <f>April!F79</f>
        <v>385445</v>
      </c>
      <c r="B324" s="1" t="str">
        <f>April!G79</f>
        <v>04/19/2023</v>
      </c>
      <c r="C324" s="1" t="str">
        <f>April!H79</f>
        <v>1/29/1957</v>
      </c>
      <c r="D324" s="1" t="str">
        <f>April!I79</f>
        <v>Basic</v>
      </c>
      <c r="E324" s="1" t="str">
        <f>April!J79</f>
        <v>Black</v>
      </c>
    </row>
    <row r="325">
      <c r="A325" s="1" t="str">
        <f>April!F80</f>
        <v>382490</v>
      </c>
      <c r="B325" s="1" t="str">
        <f>April!G80</f>
        <v>04/28/2023</v>
      </c>
      <c r="C325" s="1" t="str">
        <f>April!H80</f>
        <v>11/6/1997</v>
      </c>
      <c r="D325" s="1" t="str">
        <f>April!I80</f>
        <v>Gold</v>
      </c>
      <c r="E325" s="1" t="str">
        <f>April!J80</f>
        <v>Other</v>
      </c>
    </row>
    <row r="326">
      <c r="A326" s="1" t="str">
        <f>April!F81</f>
        <v>609432</v>
      </c>
      <c r="B326" s="1" t="str">
        <f>April!G81</f>
        <v>04/13/2023</v>
      </c>
      <c r="C326" s="1" t="str">
        <f>April!H81</f>
        <v>5/28/2009</v>
      </c>
      <c r="D326" s="1" t="str">
        <f>April!I81</f>
        <v>Platinum</v>
      </c>
      <c r="E326" s="1" t="str">
        <f>April!J81</f>
        <v>Other</v>
      </c>
    </row>
    <row r="327">
      <c r="A327" s="1" t="str">
        <f>April!F82</f>
        <v>984843</v>
      </c>
      <c r="B327" s="1" t="str">
        <f>April!G82</f>
        <v>04/28/2023</v>
      </c>
      <c r="C327" s="1" t="str">
        <f>April!H82</f>
        <v>9/23/1958</v>
      </c>
      <c r="D327" s="1" t="str">
        <f>April!I82</f>
        <v>Platinum</v>
      </c>
      <c r="E327" s="1" t="str">
        <f>April!J82</f>
        <v>Asian</v>
      </c>
    </row>
    <row r="328">
      <c r="A328" s="1" t="str">
        <f>April!F83</f>
        <v>499108</v>
      </c>
      <c r="B328" s="1" t="str">
        <f>April!G83</f>
        <v>04/11/2023</v>
      </c>
      <c r="C328" s="1" t="str">
        <f>April!H83</f>
        <v>11/21/1949</v>
      </c>
      <c r="D328" s="1" t="str">
        <f>April!I83</f>
        <v>Platinum</v>
      </c>
      <c r="E328" s="1" t="str">
        <f>April!J83</f>
        <v>White</v>
      </c>
    </row>
    <row r="329">
      <c r="A329" s="1" t="str">
        <f>April!F84</f>
        <v>867196</v>
      </c>
      <c r="B329" s="1" t="str">
        <f>April!G84</f>
        <v>04/8/2023</v>
      </c>
      <c r="C329" s="1" t="str">
        <f>April!H84</f>
        <v>6/18/1953</v>
      </c>
      <c r="D329" s="1" t="str">
        <f>April!I84</f>
        <v>Basic</v>
      </c>
      <c r="E329" s="1" t="str">
        <f>April!J84</f>
        <v>Other</v>
      </c>
    </row>
    <row r="330">
      <c r="A330" s="1" t="str">
        <f>April!F85</f>
        <v>552566</v>
      </c>
      <c r="B330" s="1" t="str">
        <f>April!G85</f>
        <v>04/28/2023</v>
      </c>
      <c r="C330" s="1" t="str">
        <f>April!H85</f>
        <v>2/4/1950</v>
      </c>
      <c r="D330" s="1" t="str">
        <f>April!I85</f>
        <v>Gold</v>
      </c>
      <c r="E330" s="1" t="str">
        <f>April!J85</f>
        <v>White</v>
      </c>
    </row>
    <row r="331">
      <c r="A331" s="1" t="str">
        <f>April!F86</f>
        <v>381217</v>
      </c>
      <c r="B331" s="1" t="str">
        <f>April!G86</f>
        <v>04/28/2023</v>
      </c>
      <c r="C331" s="1" t="str">
        <f>April!H86</f>
        <v>8/5/1962</v>
      </c>
      <c r="D331" s="1" t="str">
        <f>April!I86</f>
        <v>Basic</v>
      </c>
      <c r="E331" s="1" t="str">
        <f>April!J86</f>
        <v>White</v>
      </c>
    </row>
    <row r="332">
      <c r="A332" s="1" t="str">
        <f>April!F87</f>
        <v>779629</v>
      </c>
      <c r="B332" s="1" t="str">
        <f>April!G87</f>
        <v>04/13/2023</v>
      </c>
      <c r="C332" s="1" t="str">
        <f>April!H87</f>
        <v>6/30/1993</v>
      </c>
      <c r="D332" s="1" t="str">
        <f>April!I87</f>
        <v>Platinum</v>
      </c>
      <c r="E332" s="1" t="str">
        <f>April!J87</f>
        <v>White</v>
      </c>
    </row>
    <row r="333">
      <c r="A333" s="1" t="str">
        <f>April!F88</f>
        <v>484119</v>
      </c>
      <c r="B333" s="1" t="str">
        <f>April!G88</f>
        <v>04/8/2023</v>
      </c>
      <c r="C333" s="1" t="str">
        <f>April!H88</f>
        <v>9/30/1974</v>
      </c>
      <c r="D333" s="1" t="str">
        <f>April!I88</f>
        <v>Gold</v>
      </c>
      <c r="E333" s="1" t="str">
        <f>April!J88</f>
        <v>Other</v>
      </c>
    </row>
    <row r="334">
      <c r="A334" s="1" t="str">
        <f>April!F89</f>
        <v>189566</v>
      </c>
      <c r="B334" s="1" t="str">
        <f>April!G89</f>
        <v>04/14/2023</v>
      </c>
      <c r="C334" s="1" t="str">
        <f>April!H89</f>
        <v>9/8/1962</v>
      </c>
      <c r="D334" s="1" t="str">
        <f>April!I89</f>
        <v>Basic</v>
      </c>
      <c r="E334" s="1" t="str">
        <f>April!J89</f>
        <v>Other</v>
      </c>
    </row>
    <row r="335">
      <c r="A335" s="1" t="str">
        <f>April!F90</f>
        <v>589251</v>
      </c>
      <c r="B335" s="1" t="str">
        <f>April!G90</f>
        <v>04/3/2023</v>
      </c>
      <c r="C335" s="1" t="str">
        <f>April!H90</f>
        <v>6/1/1943</v>
      </c>
      <c r="D335" s="1" t="str">
        <f>April!I90</f>
        <v>Platinum</v>
      </c>
      <c r="E335" s="1" t="str">
        <f>April!J90</f>
        <v>White</v>
      </c>
    </row>
    <row r="336">
      <c r="A336" s="1" t="str">
        <f>April!F91</f>
        <v>934663</v>
      </c>
      <c r="B336" s="1" t="str">
        <f>April!G91</f>
        <v>04/27/2023</v>
      </c>
      <c r="C336" s="1" t="str">
        <f>April!H91</f>
        <v>1/29/1969</v>
      </c>
      <c r="D336" s="1" t="str">
        <f>April!I91</f>
        <v>Basic</v>
      </c>
      <c r="E336" s="1" t="str">
        <f>April!J91</f>
        <v>Black</v>
      </c>
    </row>
    <row r="337">
      <c r="A337" s="1" t="str">
        <f>April!F92</f>
        <v>528483</v>
      </c>
      <c r="B337" s="1" t="str">
        <f>April!G92</f>
        <v>04/26/2023</v>
      </c>
      <c r="C337" s="1" t="str">
        <f>April!H92</f>
        <v>5/3/2010</v>
      </c>
      <c r="D337" s="1" t="str">
        <f>April!I92</f>
        <v>Platinum</v>
      </c>
      <c r="E337" s="1" t="str">
        <f>April!J92</f>
        <v>Black</v>
      </c>
    </row>
    <row r="338">
      <c r="A338" s="1" t="str">
        <f>May!F2</f>
        <v>239922</v>
      </c>
      <c r="B338" s="1" t="str">
        <f>May!G2</f>
        <v>05/15/2023</v>
      </c>
      <c r="C338" s="1" t="str">
        <f>May!H2</f>
        <v>10/31/1989</v>
      </c>
      <c r="D338" s="1" t="str">
        <f>May!I2</f>
        <v>Basic</v>
      </c>
      <c r="E338" s="1" t="str">
        <f>May!J2</f>
        <v>Asian</v>
      </c>
    </row>
    <row r="339">
      <c r="A339" s="1" t="str">
        <f>May!F3</f>
        <v>131879</v>
      </c>
      <c r="B339" s="1" t="str">
        <f>May!G3</f>
        <v>05/4/2023</v>
      </c>
      <c r="C339" s="1" t="str">
        <f>May!H3</f>
        <v>9/2/1952</v>
      </c>
      <c r="D339" s="1" t="str">
        <f>May!I3</f>
        <v>Platinum</v>
      </c>
      <c r="E339" s="1" t="str">
        <f>May!J3</f>
        <v>Other</v>
      </c>
    </row>
    <row r="340">
      <c r="A340" s="1" t="str">
        <f>May!F4</f>
        <v>828717</v>
      </c>
      <c r="B340" s="1" t="str">
        <f>May!G4</f>
        <v>05/4/2023</v>
      </c>
      <c r="C340" s="1" t="str">
        <f>May!H4</f>
        <v>10/8/1978</v>
      </c>
      <c r="D340" s="1" t="str">
        <f>May!I4</f>
        <v>Basic</v>
      </c>
      <c r="E340" s="1" t="str">
        <f>May!J4</f>
        <v>White</v>
      </c>
    </row>
    <row r="341">
      <c r="A341" s="1" t="str">
        <f>May!F5</f>
        <v>426552</v>
      </c>
      <c r="B341" s="1" t="str">
        <f>May!G5</f>
        <v>05/24/2023</v>
      </c>
      <c r="C341" s="1" t="str">
        <f>May!H5</f>
        <v>9/13/1995</v>
      </c>
      <c r="D341" s="1" t="str">
        <f>May!I5</f>
        <v>Gold</v>
      </c>
      <c r="E341" s="1" t="str">
        <f>May!J5</f>
        <v>White</v>
      </c>
    </row>
    <row r="342">
      <c r="A342" s="1" t="str">
        <f>May!F6</f>
        <v>742714</v>
      </c>
      <c r="B342" s="1" t="str">
        <f>May!G6</f>
        <v>05/5/2023</v>
      </c>
      <c r="C342" s="1" t="str">
        <f>May!H6</f>
        <v>4/4/1968</v>
      </c>
      <c r="D342" s="1" t="str">
        <f>May!I6</f>
        <v>Gold</v>
      </c>
      <c r="E342" s="1" t="str">
        <f>May!J6</f>
        <v>Black</v>
      </c>
    </row>
    <row r="343">
      <c r="A343" s="1" t="str">
        <f>May!F7</f>
        <v>112311</v>
      </c>
      <c r="B343" s="1" t="str">
        <f>May!G7</f>
        <v>05/9/2023</v>
      </c>
      <c r="C343" s="1" t="str">
        <f>May!H7</f>
        <v>8/11/1990</v>
      </c>
      <c r="D343" s="1" t="str">
        <f>May!I7</f>
        <v>Gold</v>
      </c>
      <c r="E343" s="1" t="str">
        <f>May!J7</f>
        <v>Other</v>
      </c>
    </row>
    <row r="344">
      <c r="A344" s="1" t="str">
        <f>May!F8</f>
        <v>878515</v>
      </c>
      <c r="B344" s="1" t="str">
        <f>May!G8</f>
        <v>05/7/2023</v>
      </c>
      <c r="C344" s="1" t="str">
        <f>May!H8</f>
        <v>7/21/1989</v>
      </c>
      <c r="D344" s="1" t="str">
        <f>May!I8</f>
        <v>Gold</v>
      </c>
      <c r="E344" s="1" t="str">
        <f>May!J8</f>
        <v>Other</v>
      </c>
    </row>
    <row r="345">
      <c r="A345" s="1" t="str">
        <f>May!F9</f>
        <v>942174</v>
      </c>
      <c r="B345" s="1" t="str">
        <f>May!G9</f>
        <v>05/10/2023</v>
      </c>
      <c r="C345" s="1" t="str">
        <f>May!H9</f>
        <v>6/11/1984</v>
      </c>
      <c r="D345" s="1" t="str">
        <f>May!I9</f>
        <v>Gold</v>
      </c>
      <c r="E345" s="1" t="str">
        <f>May!J9</f>
        <v>White</v>
      </c>
    </row>
    <row r="346">
      <c r="A346" s="1" t="str">
        <f>May!F10</f>
        <v>319191</v>
      </c>
      <c r="B346" s="1" t="str">
        <f>May!G10</f>
        <v>05/7/2023</v>
      </c>
      <c r="C346" s="1" t="str">
        <f>May!H10</f>
        <v>12/16/2010</v>
      </c>
      <c r="D346" s="1" t="str">
        <f>May!I10</f>
        <v>Platinum</v>
      </c>
      <c r="E346" s="1" t="str">
        <f>May!J10</f>
        <v>Other</v>
      </c>
    </row>
    <row r="347">
      <c r="A347" s="1" t="str">
        <f>May!F11</f>
        <v>296948</v>
      </c>
      <c r="B347" s="1" t="str">
        <f>May!G11</f>
        <v>05/21/2023</v>
      </c>
      <c r="C347" s="1" t="str">
        <f>May!H11</f>
        <v>12/10/1986</v>
      </c>
      <c r="D347" s="1" t="str">
        <f>May!I11</f>
        <v>Platinum</v>
      </c>
      <c r="E347" s="1" t="str">
        <f>May!J11</f>
        <v>Black</v>
      </c>
    </row>
    <row r="348">
      <c r="A348" s="1" t="str">
        <f>May!F12</f>
        <v>778767</v>
      </c>
      <c r="B348" s="1" t="str">
        <f>May!G12</f>
        <v>05/12/2023</v>
      </c>
      <c r="C348" s="1" t="str">
        <f>May!H12</f>
        <v>6/5/1991</v>
      </c>
      <c r="D348" s="1" t="str">
        <f>May!I12</f>
        <v>Basic</v>
      </c>
      <c r="E348" s="1" t="str">
        <f>May!J12</f>
        <v>White</v>
      </c>
    </row>
    <row r="349">
      <c r="A349" s="1" t="str">
        <f>May!F13</f>
        <v>569694</v>
      </c>
      <c r="B349" s="1" t="str">
        <f>May!G13</f>
        <v>05/24/2023</v>
      </c>
      <c r="C349" s="1" t="str">
        <f>May!H13</f>
        <v>11/7/2018</v>
      </c>
      <c r="D349" s="1" t="str">
        <f>May!I13</f>
        <v>Platinum</v>
      </c>
      <c r="E349" s="1" t="str">
        <f>May!J13</f>
        <v>Black</v>
      </c>
    </row>
    <row r="350">
      <c r="A350" s="1" t="str">
        <f>May!F14</f>
        <v>433632</v>
      </c>
      <c r="B350" s="1" t="str">
        <f>May!G14</f>
        <v>05/1/2023</v>
      </c>
      <c r="C350" s="1" t="str">
        <f>May!H14</f>
        <v>9/27/1992</v>
      </c>
      <c r="D350" s="1" t="str">
        <f>May!I14</f>
        <v>Platinum</v>
      </c>
      <c r="E350" s="1" t="str">
        <f>May!J14</f>
        <v>White</v>
      </c>
    </row>
    <row r="351">
      <c r="A351" s="1" t="str">
        <f>May!F15</f>
        <v>210741</v>
      </c>
      <c r="B351" s="1" t="str">
        <f>May!G15</f>
        <v>05/15/2023</v>
      </c>
      <c r="C351" s="1" t="str">
        <f>May!H15</f>
        <v>1/8/1985</v>
      </c>
      <c r="D351" s="1" t="str">
        <f>May!I15</f>
        <v>Gold</v>
      </c>
      <c r="E351" s="1" t="str">
        <f>May!J15</f>
        <v>White</v>
      </c>
    </row>
    <row r="352">
      <c r="A352" s="1" t="str">
        <f>May!F16</f>
        <v>636423</v>
      </c>
      <c r="B352" s="1" t="str">
        <f>May!G16</f>
        <v>05/20/2023</v>
      </c>
      <c r="C352" s="1" t="str">
        <f>May!H16</f>
        <v>7/4/1983</v>
      </c>
      <c r="D352" s="1" t="str">
        <f>May!I16</f>
        <v>Platinum</v>
      </c>
      <c r="E352" s="1" t="str">
        <f>May!J16</f>
        <v>Asian</v>
      </c>
    </row>
    <row r="353">
      <c r="A353" s="1" t="str">
        <f>May!F17</f>
        <v>979652</v>
      </c>
      <c r="B353" s="1" t="str">
        <f>May!G17</f>
        <v>05/15/2023</v>
      </c>
      <c r="C353" s="1" t="str">
        <f>May!H17</f>
        <v>5/23/1956</v>
      </c>
      <c r="D353" s="1" t="str">
        <f>May!I17</f>
        <v>Platinum</v>
      </c>
      <c r="E353" s="1" t="str">
        <f>May!J17</f>
        <v>Black</v>
      </c>
    </row>
    <row r="354">
      <c r="A354" s="1" t="str">
        <f>May!F18</f>
        <v>801200</v>
      </c>
      <c r="B354" s="1" t="str">
        <f>May!G18</f>
        <v>05/15/2023</v>
      </c>
      <c r="C354" s="1" t="str">
        <f>May!H18</f>
        <v>1/25/1979</v>
      </c>
      <c r="D354" s="1" t="str">
        <f>May!I18</f>
        <v>Platinum</v>
      </c>
      <c r="E354" s="1" t="str">
        <f>May!J18</f>
        <v>Black</v>
      </c>
    </row>
    <row r="355">
      <c r="A355" s="1" t="str">
        <f>May!F19</f>
        <v>775261</v>
      </c>
      <c r="B355" s="1" t="str">
        <f>May!G19</f>
        <v>05/3/2023</v>
      </c>
      <c r="C355" s="1" t="str">
        <f>May!H19</f>
        <v>2/23/1952</v>
      </c>
      <c r="D355" s="1" t="str">
        <f>May!I19</f>
        <v>Gold</v>
      </c>
      <c r="E355" s="1" t="str">
        <f>May!J19</f>
        <v>White</v>
      </c>
    </row>
    <row r="356">
      <c r="A356" s="1" t="str">
        <f>May!F20</f>
        <v>127541</v>
      </c>
      <c r="B356" s="1" t="str">
        <f>May!G20</f>
        <v>05/15/2023</v>
      </c>
      <c r="C356" s="1" t="str">
        <f>May!H20</f>
        <v>7/13/2016</v>
      </c>
      <c r="D356" s="1" t="str">
        <f>May!I20</f>
        <v>Gold</v>
      </c>
      <c r="E356" s="1" t="str">
        <f>May!J20</f>
        <v>Asian</v>
      </c>
    </row>
    <row r="357">
      <c r="A357" s="1" t="str">
        <f>May!F21</f>
        <v>442783</v>
      </c>
      <c r="B357" s="1" t="str">
        <f>May!G21</f>
        <v>05/15/2023</v>
      </c>
      <c r="C357" s="1" t="str">
        <f>May!H21</f>
        <v>12/18/2007</v>
      </c>
      <c r="D357" s="1" t="str">
        <f>May!I21</f>
        <v>Gold</v>
      </c>
      <c r="E357" s="1" t="str">
        <f>May!J21</f>
        <v>Asian</v>
      </c>
    </row>
    <row r="358">
      <c r="A358" s="1" t="str">
        <f>May!F22</f>
        <v>610159</v>
      </c>
      <c r="B358" s="1" t="str">
        <f>May!G22</f>
        <v>05/9/2023</v>
      </c>
      <c r="C358" s="1" t="str">
        <f>May!H22</f>
        <v>12/5/2005</v>
      </c>
      <c r="D358" s="1" t="str">
        <f>May!I22</f>
        <v>Gold</v>
      </c>
      <c r="E358" s="1" t="str">
        <f>May!J22</f>
        <v>Black</v>
      </c>
    </row>
    <row r="359">
      <c r="A359" s="1" t="str">
        <f>May!F23</f>
        <v>280225</v>
      </c>
      <c r="B359" s="1" t="str">
        <f>May!G23</f>
        <v>05/14/2023</v>
      </c>
      <c r="C359" s="1" t="str">
        <f>May!H23</f>
        <v>8/25/1996</v>
      </c>
      <c r="D359" s="1" t="str">
        <f>May!I23</f>
        <v>Platinum</v>
      </c>
      <c r="E359" s="1" t="str">
        <f>May!J23</f>
        <v>Asian</v>
      </c>
    </row>
    <row r="360">
      <c r="A360" s="1" t="str">
        <f>May!F24</f>
        <v>659716</v>
      </c>
      <c r="B360" s="1" t="str">
        <f>May!G24</f>
        <v>05/27/2023</v>
      </c>
      <c r="C360" s="1" t="str">
        <f>May!H24</f>
        <v>11/9/2008</v>
      </c>
      <c r="D360" s="1" t="str">
        <f>May!I24</f>
        <v>Platinum</v>
      </c>
      <c r="E360" s="1" t="str">
        <f>May!J24</f>
        <v>Black</v>
      </c>
    </row>
    <row r="361">
      <c r="A361" s="1" t="str">
        <f>May!F25</f>
        <v>500890</v>
      </c>
      <c r="B361" s="1" t="str">
        <f>May!G25</f>
        <v>05/12/2023</v>
      </c>
      <c r="C361" s="1" t="str">
        <f>May!H25</f>
        <v>10/15/1958</v>
      </c>
      <c r="D361" s="1" t="str">
        <f>May!I25</f>
        <v>Basic</v>
      </c>
      <c r="E361" s="1" t="str">
        <f>May!J25</f>
        <v>White</v>
      </c>
    </row>
    <row r="362">
      <c r="A362" s="1" t="str">
        <f>May!F26</f>
        <v>497082</v>
      </c>
      <c r="B362" s="1" t="str">
        <f>May!G26</f>
        <v>05/8/2023</v>
      </c>
      <c r="C362" s="1" t="str">
        <f>May!H26</f>
        <v>1/3/1969</v>
      </c>
      <c r="D362" s="1" t="str">
        <f>May!I26</f>
        <v>Platinum</v>
      </c>
      <c r="E362" s="1" t="str">
        <f>May!J26</f>
        <v>Other</v>
      </c>
    </row>
    <row r="363">
      <c r="A363" s="1" t="str">
        <f>May!F27</f>
        <v>397269</v>
      </c>
      <c r="B363" s="1" t="str">
        <f>May!G27</f>
        <v>05/3/2023</v>
      </c>
      <c r="C363" s="1" t="str">
        <f>May!H27</f>
        <v>6/8/2001</v>
      </c>
      <c r="D363" s="1" t="str">
        <f>May!I27</f>
        <v>Platinum</v>
      </c>
      <c r="E363" s="1" t="str">
        <f>May!J27</f>
        <v>Other</v>
      </c>
    </row>
    <row r="364">
      <c r="A364" s="1" t="str">
        <f>May!F28</f>
        <v>747682</v>
      </c>
      <c r="B364" s="1" t="str">
        <f>May!G28</f>
        <v>05/21/2023</v>
      </c>
      <c r="C364" s="1" t="str">
        <f>May!H28</f>
        <v>12/4/1985</v>
      </c>
      <c r="D364" s="1" t="str">
        <f>May!I28</f>
        <v>Platinum</v>
      </c>
      <c r="E364" s="1" t="str">
        <f>May!J28</f>
        <v>Black</v>
      </c>
    </row>
    <row r="365">
      <c r="A365" s="1" t="str">
        <f>May!F29</f>
        <v>682562</v>
      </c>
      <c r="B365" s="1" t="str">
        <f>May!G29</f>
        <v>05/25/2023</v>
      </c>
      <c r="C365" s="1" t="str">
        <f>May!H29</f>
        <v>4/16/1984</v>
      </c>
      <c r="D365" s="1" t="str">
        <f>May!I29</f>
        <v>Basic</v>
      </c>
      <c r="E365" s="1" t="str">
        <f>May!J29</f>
        <v>Black</v>
      </c>
    </row>
    <row r="366">
      <c r="A366" s="1" t="str">
        <f>May!F30</f>
        <v>444025</v>
      </c>
      <c r="B366" s="1" t="str">
        <f>May!G30</f>
        <v>05/28/2023</v>
      </c>
      <c r="C366" s="1" t="str">
        <f>May!H30</f>
        <v>4/8/1997</v>
      </c>
      <c r="D366" s="1" t="str">
        <f>May!I30</f>
        <v>Platinum</v>
      </c>
      <c r="E366" s="1" t="str">
        <f>May!J30</f>
        <v>Black</v>
      </c>
    </row>
    <row r="367">
      <c r="A367" s="1" t="str">
        <f>May!F31</f>
        <v>597131</v>
      </c>
      <c r="B367" s="1" t="str">
        <f>May!G31</f>
        <v>05/24/2023</v>
      </c>
      <c r="C367" s="1" t="str">
        <f>May!H31</f>
        <v>5/17/1954</v>
      </c>
      <c r="D367" s="1" t="str">
        <f>May!I31</f>
        <v>Gold</v>
      </c>
      <c r="E367" s="1" t="str">
        <f>May!J31</f>
        <v>White</v>
      </c>
    </row>
    <row r="368">
      <c r="A368" s="1" t="str">
        <f>May!F32</f>
        <v>723823</v>
      </c>
      <c r="B368" s="1" t="str">
        <f>May!G32</f>
        <v>05/31/2023</v>
      </c>
      <c r="C368" s="1" t="str">
        <f>May!H32</f>
        <v>5/17/2005</v>
      </c>
      <c r="D368" s="1" t="str">
        <f>May!I32</f>
        <v>Basic</v>
      </c>
      <c r="E368" s="1" t="str">
        <f>May!J32</f>
        <v>White</v>
      </c>
    </row>
    <row r="369">
      <c r="A369" s="1" t="str">
        <f>May!F33</f>
        <v>637483</v>
      </c>
      <c r="B369" s="1" t="str">
        <f>May!G33</f>
        <v>05/31/2023</v>
      </c>
      <c r="C369" s="1" t="str">
        <f>May!H33</f>
        <v>8/21/2009</v>
      </c>
      <c r="D369" s="1" t="str">
        <f>May!I33</f>
        <v>Basic</v>
      </c>
      <c r="E369" s="1" t="str">
        <f>May!J33</f>
        <v>White</v>
      </c>
    </row>
    <row r="370">
      <c r="A370" s="1" t="str">
        <f>May!F34</f>
        <v>139501</v>
      </c>
      <c r="B370" s="1" t="str">
        <f>May!G34</f>
        <v>05/17/2023</v>
      </c>
      <c r="C370" s="1" t="str">
        <f>May!H34</f>
        <v>1/1/1994</v>
      </c>
      <c r="D370" s="1" t="str">
        <f>May!I34</f>
        <v>Basic</v>
      </c>
      <c r="E370" s="1" t="str">
        <f>May!J34</f>
        <v>Asian</v>
      </c>
    </row>
    <row r="371">
      <c r="A371" s="1" t="str">
        <f>May!F35</f>
        <v>662171</v>
      </c>
      <c r="B371" s="1" t="str">
        <f>May!G35</f>
        <v>05/5/2023</v>
      </c>
      <c r="C371" s="1" t="str">
        <f>May!H35</f>
        <v>10/22/1943</v>
      </c>
      <c r="D371" s="1" t="str">
        <f>May!I35</f>
        <v>Platinum</v>
      </c>
      <c r="E371" s="1" t="str">
        <f>May!J35</f>
        <v>Black</v>
      </c>
    </row>
    <row r="372">
      <c r="A372" s="1" t="str">
        <f>May!F36</f>
        <v>488942</v>
      </c>
      <c r="B372" s="1" t="str">
        <f>May!G36</f>
        <v>05/3/2023</v>
      </c>
      <c r="C372" s="1" t="str">
        <f>May!H36</f>
        <v>12/2/1958</v>
      </c>
      <c r="D372" s="1" t="str">
        <f>May!I36</f>
        <v>Basic</v>
      </c>
      <c r="E372" s="1" t="str">
        <f>May!J36</f>
        <v>Other</v>
      </c>
    </row>
    <row r="373">
      <c r="A373" s="1" t="str">
        <f>May!F37</f>
        <v>800314</v>
      </c>
      <c r="B373" s="1" t="str">
        <f>May!G37</f>
        <v>05/12/2023</v>
      </c>
      <c r="C373" s="1" t="str">
        <f>May!H37</f>
        <v>7/20/1963</v>
      </c>
      <c r="D373" s="1" t="str">
        <f>May!I37</f>
        <v>Basic</v>
      </c>
      <c r="E373" s="1" t="str">
        <f>May!J37</f>
        <v>Other</v>
      </c>
    </row>
    <row r="374">
      <c r="A374" s="1" t="str">
        <f>May!F38</f>
        <v>631634</v>
      </c>
      <c r="B374" s="1" t="str">
        <f>May!G38</f>
        <v>05/29/2023</v>
      </c>
      <c r="C374" s="1" t="str">
        <f>May!H38</f>
        <v>1/1/1940</v>
      </c>
      <c r="D374" s="1" t="str">
        <f>May!I38</f>
        <v>Basic</v>
      </c>
      <c r="E374" s="1" t="str">
        <f>May!J38</f>
        <v>Asian</v>
      </c>
    </row>
    <row r="375">
      <c r="A375" s="1" t="str">
        <f>May!F39</f>
        <v>773841</v>
      </c>
      <c r="B375" s="1" t="str">
        <f>May!G39</f>
        <v>05/19/2023</v>
      </c>
      <c r="C375" s="1" t="str">
        <f>May!H39</f>
        <v>3/18/1990</v>
      </c>
      <c r="D375" s="1" t="str">
        <f>May!I39</f>
        <v>Platinum</v>
      </c>
      <c r="E375" s="1" t="str">
        <f>May!J39</f>
        <v>Other</v>
      </c>
    </row>
    <row r="376">
      <c r="A376" s="1" t="str">
        <f>May!F40</f>
        <v>143337</v>
      </c>
      <c r="B376" s="1" t="str">
        <f>May!G40</f>
        <v>05/17/2023</v>
      </c>
      <c r="C376" s="1" t="str">
        <f>May!H40</f>
        <v>6/21/1980</v>
      </c>
      <c r="D376" s="1" t="str">
        <f>May!I40</f>
        <v>Gold</v>
      </c>
      <c r="E376" s="1" t="str">
        <f>May!J40</f>
        <v>Other</v>
      </c>
    </row>
    <row r="377">
      <c r="A377" s="1" t="str">
        <f>May!F41</f>
        <v>199260</v>
      </c>
      <c r="B377" s="1" t="str">
        <f>May!G41</f>
        <v>05/10/2023</v>
      </c>
      <c r="C377" s="1" t="str">
        <f>May!H41</f>
        <v>1/31/1992</v>
      </c>
      <c r="D377" s="1" t="str">
        <f>May!I41</f>
        <v>Basic</v>
      </c>
      <c r="E377" s="1" t="str">
        <f>May!J41</f>
        <v>Other</v>
      </c>
    </row>
    <row r="378">
      <c r="A378" s="1" t="str">
        <f>May!F42</f>
        <v>177977</v>
      </c>
      <c r="B378" s="1" t="str">
        <f>May!G42</f>
        <v>05/10/2023</v>
      </c>
      <c r="C378" s="1" t="str">
        <f>May!H42</f>
        <v>4/2/1957</v>
      </c>
      <c r="D378" s="1" t="str">
        <f>May!I42</f>
        <v>Basic</v>
      </c>
      <c r="E378" s="1" t="str">
        <f>May!J42</f>
        <v>Asian</v>
      </c>
    </row>
    <row r="379">
      <c r="A379" s="1" t="str">
        <f>May!F43</f>
        <v>633141</v>
      </c>
      <c r="B379" s="1" t="str">
        <f>May!G43</f>
        <v>05/30/2023</v>
      </c>
      <c r="C379" s="1" t="str">
        <f>May!H43</f>
        <v>5/20/1943</v>
      </c>
      <c r="D379" s="1" t="str">
        <f>May!I43</f>
        <v>Basic</v>
      </c>
      <c r="E379" s="1" t="str">
        <f>May!J43</f>
        <v>White</v>
      </c>
    </row>
    <row r="380">
      <c r="A380" s="1" t="str">
        <f>May!F44</f>
        <v>884949</v>
      </c>
      <c r="B380" s="1" t="str">
        <f>May!G44</f>
        <v>05/31/2023</v>
      </c>
      <c r="C380" s="1" t="str">
        <f>May!H44</f>
        <v>12/3/1943</v>
      </c>
      <c r="D380" s="1" t="str">
        <f>May!I44</f>
        <v>Gold</v>
      </c>
      <c r="E380" s="1" t="str">
        <f>May!J44</f>
        <v>Asian</v>
      </c>
    </row>
    <row r="381">
      <c r="A381" s="1" t="str">
        <f>May!F45</f>
        <v>222860</v>
      </c>
      <c r="B381" s="1" t="str">
        <f>May!G45</f>
        <v>05/23/2023</v>
      </c>
      <c r="C381" s="1" t="str">
        <f>May!H45</f>
        <v>2/11/2012</v>
      </c>
      <c r="D381" s="1" t="str">
        <f>May!I45</f>
        <v>Basic</v>
      </c>
      <c r="E381" s="1" t="str">
        <f>May!J45</f>
        <v>Black</v>
      </c>
    </row>
    <row r="382">
      <c r="A382" s="1" t="str">
        <f>May!F46</f>
        <v>843274</v>
      </c>
      <c r="B382" s="1" t="str">
        <f>May!G46</f>
        <v>05/22/2023</v>
      </c>
      <c r="C382" s="1" t="str">
        <f>May!H46</f>
        <v>8/11/1941</v>
      </c>
      <c r="D382" s="1" t="str">
        <f>May!I46</f>
        <v>Basic</v>
      </c>
      <c r="E382" s="1" t="str">
        <f>May!J46</f>
        <v>Other</v>
      </c>
    </row>
    <row r="383">
      <c r="A383" s="1" t="str">
        <f>May!F47</f>
        <v>261620</v>
      </c>
      <c r="B383" s="1" t="str">
        <f>May!G47</f>
        <v>05/7/2023</v>
      </c>
      <c r="C383" s="1" t="str">
        <f>May!H47</f>
        <v>7/30/1990</v>
      </c>
      <c r="D383" s="1" t="str">
        <f>May!I47</f>
        <v>Gold</v>
      </c>
      <c r="E383" s="1" t="str">
        <f>May!J47</f>
        <v>Black</v>
      </c>
    </row>
    <row r="384">
      <c r="A384" s="1" t="str">
        <f>May!F48</f>
        <v>738405</v>
      </c>
      <c r="B384" s="1" t="str">
        <f>May!G48</f>
        <v>05/2/2023</v>
      </c>
      <c r="C384" s="1" t="str">
        <f>May!H48</f>
        <v>10/12/1952</v>
      </c>
      <c r="D384" s="1" t="str">
        <f>May!I48</f>
        <v>Basic</v>
      </c>
      <c r="E384" s="1" t="str">
        <f>May!J48</f>
        <v>Asian</v>
      </c>
    </row>
    <row r="385">
      <c r="A385" s="1" t="str">
        <f>May!F49</f>
        <v>209144</v>
      </c>
      <c r="B385" s="1" t="str">
        <f>May!G49</f>
        <v>05/2/2023</v>
      </c>
      <c r="C385" s="1" t="str">
        <f>May!H49</f>
        <v>11/22/1948</v>
      </c>
      <c r="D385" s="1" t="str">
        <f>May!I49</f>
        <v>Basic</v>
      </c>
      <c r="E385" s="1" t="str">
        <f>May!J49</f>
        <v>Black</v>
      </c>
    </row>
    <row r="386">
      <c r="A386" s="1" t="str">
        <f>May!F50</f>
        <v>549243</v>
      </c>
      <c r="B386" s="1" t="str">
        <f>May!G50</f>
        <v>05/1/2023</v>
      </c>
      <c r="C386" s="1" t="str">
        <f>May!H50</f>
        <v>6/7/1947</v>
      </c>
      <c r="D386" s="1" t="str">
        <f>May!I50</f>
        <v>Gold</v>
      </c>
      <c r="E386" s="1" t="str">
        <f>May!J50</f>
        <v>Black</v>
      </c>
    </row>
    <row r="387">
      <c r="A387" s="1" t="str">
        <f>May!F51</f>
        <v>189930</v>
      </c>
      <c r="B387" s="1" t="str">
        <f>May!G51</f>
        <v>05/5/2023</v>
      </c>
      <c r="C387" s="1" t="str">
        <f>May!H51</f>
        <v>1/9/1983</v>
      </c>
      <c r="D387" s="1" t="str">
        <f>May!I51</f>
        <v>Gold</v>
      </c>
      <c r="E387" s="1" t="str">
        <f>May!J51</f>
        <v>White</v>
      </c>
    </row>
    <row r="388">
      <c r="A388" s="1" t="str">
        <f>May!F52</f>
        <v>522270</v>
      </c>
      <c r="B388" s="1" t="str">
        <f>May!G52</f>
        <v>05/1/2023</v>
      </c>
      <c r="C388" s="1" t="str">
        <f>May!H52</f>
        <v>11/21/1940</v>
      </c>
      <c r="D388" s="1" t="str">
        <f>May!I52</f>
        <v>Basic</v>
      </c>
      <c r="E388" s="1" t="str">
        <f>May!J52</f>
        <v>Black</v>
      </c>
    </row>
    <row r="389">
      <c r="A389" s="1" t="str">
        <f>May!F53</f>
        <v>293145</v>
      </c>
      <c r="B389" s="1" t="str">
        <f>May!G53</f>
        <v>05/29/2023</v>
      </c>
      <c r="C389" s="1" t="str">
        <f>May!H53</f>
        <v>8/7/1989</v>
      </c>
      <c r="D389" s="1" t="str">
        <f>May!I53</f>
        <v>Gold</v>
      </c>
      <c r="E389" s="1" t="str">
        <f>May!J53</f>
        <v>Black</v>
      </c>
    </row>
    <row r="390">
      <c r="A390" s="1" t="str">
        <f>May!F54</f>
        <v>520059</v>
      </c>
      <c r="B390" s="1" t="str">
        <f>May!G54</f>
        <v>05/2/2023</v>
      </c>
      <c r="C390" s="1" t="str">
        <f>May!H54</f>
        <v>1/26/1942</v>
      </c>
      <c r="D390" s="1" t="str">
        <f>May!I54</f>
        <v>Gold</v>
      </c>
      <c r="E390" s="1" t="str">
        <f>May!J54</f>
        <v>Asian</v>
      </c>
    </row>
    <row r="391">
      <c r="A391" s="1" t="str">
        <f>May!F55</f>
        <v>219792</v>
      </c>
      <c r="B391" s="1" t="str">
        <f>May!G55</f>
        <v>05/12/2023</v>
      </c>
      <c r="C391" s="1" t="str">
        <f>May!H55</f>
        <v>4/21/2003</v>
      </c>
      <c r="D391" s="1" t="str">
        <f>May!I55</f>
        <v>Gold</v>
      </c>
      <c r="E391" s="1" t="str">
        <f>May!J55</f>
        <v>Black</v>
      </c>
    </row>
    <row r="392">
      <c r="A392" s="1" t="str">
        <f>May!F56</f>
        <v>509391</v>
      </c>
      <c r="B392" s="1" t="str">
        <f>May!G56</f>
        <v>05/27/2023</v>
      </c>
      <c r="C392" s="1" t="str">
        <f>May!H56</f>
        <v>11/6/1947</v>
      </c>
      <c r="D392" s="1" t="str">
        <f>May!I56</f>
        <v>Platinum</v>
      </c>
      <c r="E392" s="1" t="str">
        <f>May!J56</f>
        <v>Other</v>
      </c>
    </row>
    <row r="393">
      <c r="A393" s="1" t="str">
        <f>May!F57</f>
        <v>985783</v>
      </c>
      <c r="B393" s="1" t="str">
        <f>May!G57</f>
        <v>05/6/2023</v>
      </c>
      <c r="C393" s="1" t="str">
        <f>May!H57</f>
        <v>3/28/1951</v>
      </c>
      <c r="D393" s="1" t="str">
        <f>May!I57</f>
        <v>Basic</v>
      </c>
      <c r="E393" s="1" t="str">
        <f>May!J57</f>
        <v>Asian</v>
      </c>
    </row>
    <row r="394">
      <c r="A394" s="1" t="str">
        <f>May!F58</f>
        <v>838883</v>
      </c>
      <c r="B394" s="1" t="str">
        <f>May!G58</f>
        <v>05/29/2023</v>
      </c>
      <c r="C394" s="1" t="str">
        <f>May!H58</f>
        <v>12/10/1980</v>
      </c>
      <c r="D394" s="1" t="str">
        <f>May!I58</f>
        <v>Basic</v>
      </c>
      <c r="E394" s="1" t="str">
        <f>May!J58</f>
        <v>White</v>
      </c>
    </row>
    <row r="395">
      <c r="A395" s="1" t="str">
        <f>May!F59</f>
        <v>367979</v>
      </c>
      <c r="B395" s="1" t="str">
        <f>May!G59</f>
        <v>05/18/2023</v>
      </c>
      <c r="C395" s="1" t="str">
        <f>May!H59</f>
        <v>9/15/1983</v>
      </c>
      <c r="D395" s="1" t="str">
        <f>May!I59</f>
        <v>Basic</v>
      </c>
      <c r="E395" s="1" t="str">
        <f>May!J59</f>
        <v>Black</v>
      </c>
    </row>
    <row r="396">
      <c r="A396" s="1" t="str">
        <f>May!F60</f>
        <v>366023</v>
      </c>
      <c r="B396" s="1" t="str">
        <f>May!G60</f>
        <v>05/2/2023</v>
      </c>
      <c r="C396" s="1" t="str">
        <f>May!H60</f>
        <v>1/1/1986</v>
      </c>
      <c r="D396" s="1" t="str">
        <f>May!I60</f>
        <v>Basic</v>
      </c>
      <c r="E396" s="1" t="str">
        <f>May!J60</f>
        <v>Asian</v>
      </c>
    </row>
    <row r="397">
      <c r="A397" s="1" t="str">
        <f>May!F61</f>
        <v>459470</v>
      </c>
      <c r="B397" s="1" t="str">
        <f>May!G61</f>
        <v>05/10/2023</v>
      </c>
      <c r="C397" s="1" t="str">
        <f>May!H61</f>
        <v>9/13/1987</v>
      </c>
      <c r="D397" s="1" t="str">
        <f>May!I61</f>
        <v>Platinum</v>
      </c>
      <c r="E397" s="1" t="str">
        <f>May!J61</f>
        <v>Black</v>
      </c>
    </row>
    <row r="398">
      <c r="A398" s="1" t="str">
        <f>May!F62</f>
        <v>875629</v>
      </c>
      <c r="B398" s="1" t="str">
        <f>May!G62</f>
        <v>05/20/2023</v>
      </c>
      <c r="C398" s="1" t="str">
        <f>May!H62</f>
        <v>6/4/1950</v>
      </c>
      <c r="D398" s="1" t="str">
        <f>May!I62</f>
        <v>Basic</v>
      </c>
      <c r="E398" s="1" t="str">
        <f>May!J62</f>
        <v>Other</v>
      </c>
    </row>
    <row r="399">
      <c r="A399" s="1" t="str">
        <f>May!F63</f>
        <v>514214</v>
      </c>
      <c r="B399" s="1" t="str">
        <f>May!G63</f>
        <v>05/9/2023</v>
      </c>
      <c r="C399" s="1" t="str">
        <f>May!H63</f>
        <v>7/9/1941</v>
      </c>
      <c r="D399" s="1" t="str">
        <f>May!I63</f>
        <v>Platinum</v>
      </c>
      <c r="E399" s="1" t="str">
        <f>May!J63</f>
        <v>Other</v>
      </c>
    </row>
    <row r="400">
      <c r="A400" s="1" t="str">
        <f>May!F64</f>
        <v>546645</v>
      </c>
      <c r="B400" s="1" t="str">
        <f>May!G64</f>
        <v>05/24/2023</v>
      </c>
      <c r="C400" s="1" t="str">
        <f>May!H64</f>
        <v>9/6/1971</v>
      </c>
      <c r="D400" s="1" t="str">
        <f>May!I64</f>
        <v>Gold</v>
      </c>
      <c r="E400" s="1" t="str">
        <f>May!J64</f>
        <v>Asian</v>
      </c>
    </row>
    <row r="401">
      <c r="A401" s="1" t="str">
        <f>May!F65</f>
        <v>300208</v>
      </c>
      <c r="B401" s="1" t="str">
        <f>May!G65</f>
        <v>05/11/2023</v>
      </c>
      <c r="C401" s="1" t="str">
        <f>May!H65</f>
        <v>4/3/2008</v>
      </c>
      <c r="D401" s="1" t="str">
        <f>May!I65</f>
        <v>Gold</v>
      </c>
      <c r="E401" s="1" t="str">
        <f>May!J65</f>
        <v>White</v>
      </c>
    </row>
    <row r="402">
      <c r="A402" s="1" t="str">
        <f>May!F66</f>
        <v>512509</v>
      </c>
      <c r="B402" s="1" t="str">
        <f>May!G66</f>
        <v>05/22/2023</v>
      </c>
      <c r="C402" s="1" t="str">
        <f>May!H66</f>
        <v>4/16/1991</v>
      </c>
      <c r="D402" s="1" t="str">
        <f>May!I66</f>
        <v>Gold</v>
      </c>
      <c r="E402" s="1" t="str">
        <f>May!J66</f>
        <v>White</v>
      </c>
    </row>
    <row r="403">
      <c r="A403" s="1" t="str">
        <f>May!F67</f>
        <v>930802</v>
      </c>
      <c r="B403" s="1" t="str">
        <f>May!G67</f>
        <v>05/14/2023</v>
      </c>
      <c r="C403" s="1" t="str">
        <f>May!H67</f>
        <v>2/18/2018</v>
      </c>
      <c r="D403" s="1" t="str">
        <f>May!I67</f>
        <v>Gold</v>
      </c>
      <c r="E403" s="1" t="str">
        <f>May!J67</f>
        <v>Asian</v>
      </c>
    </row>
    <row r="404">
      <c r="A404" s="1" t="str">
        <f>May!F68</f>
        <v>730864</v>
      </c>
      <c r="B404" s="1" t="str">
        <f>May!G68</f>
        <v>05/24/2023</v>
      </c>
      <c r="C404" s="1" t="str">
        <f>May!H68</f>
        <v>4/26/2015</v>
      </c>
      <c r="D404" s="1" t="str">
        <f>May!I68</f>
        <v>Gold</v>
      </c>
      <c r="E404" s="1" t="str">
        <f>May!J68</f>
        <v>Other</v>
      </c>
    </row>
    <row r="405">
      <c r="A405" s="1" t="str">
        <f>May!F69</f>
        <v>215044</v>
      </c>
      <c r="B405" s="1" t="str">
        <f>May!G69</f>
        <v>05/9/2023</v>
      </c>
      <c r="C405" s="1" t="str">
        <f>May!H69</f>
        <v>9/11/2011</v>
      </c>
      <c r="D405" s="1" t="str">
        <f>May!I69</f>
        <v>Basic</v>
      </c>
      <c r="E405" s="1" t="str">
        <f>May!J69</f>
        <v>White</v>
      </c>
    </row>
    <row r="406">
      <c r="A406" s="1" t="str">
        <f>May!F70</f>
        <v>525493</v>
      </c>
      <c r="B406" s="1" t="str">
        <f>May!G70</f>
        <v>05/21/2023</v>
      </c>
      <c r="C406" s="1" t="str">
        <f>May!H70</f>
        <v>3/28/1976</v>
      </c>
      <c r="D406" s="1" t="str">
        <f>May!I70</f>
        <v>Platinum</v>
      </c>
      <c r="E406" s="1" t="str">
        <f>May!J70</f>
        <v>Other</v>
      </c>
    </row>
    <row r="407">
      <c r="A407" s="1" t="str">
        <f>May!F71</f>
        <v>159526</v>
      </c>
      <c r="B407" s="1" t="str">
        <f>May!G71</f>
        <v>05/9/2023</v>
      </c>
      <c r="C407" s="1" t="str">
        <f>May!H71</f>
        <v>12/22/1986</v>
      </c>
      <c r="D407" s="1" t="str">
        <f>May!I71</f>
        <v>Basic</v>
      </c>
      <c r="E407" s="1" t="str">
        <f>May!J71</f>
        <v>Asian</v>
      </c>
    </row>
    <row r="408">
      <c r="A408" s="1" t="str">
        <f>May!F72</f>
        <v>366251</v>
      </c>
      <c r="B408" s="1" t="str">
        <f>May!G72</f>
        <v>05/22/2023</v>
      </c>
      <c r="C408" s="1" t="str">
        <f>May!H72</f>
        <v>8/28/1963</v>
      </c>
      <c r="D408" s="1" t="str">
        <f>May!I72</f>
        <v>Gold</v>
      </c>
      <c r="E408" s="1" t="str">
        <f>May!J72</f>
        <v>Other</v>
      </c>
    </row>
    <row r="409">
      <c r="A409" s="1" t="str">
        <f>May!F73</f>
        <v>490418</v>
      </c>
      <c r="B409" s="1" t="str">
        <f>May!G73</f>
        <v>05/2/2023</v>
      </c>
      <c r="C409" s="1" t="str">
        <f>May!H73</f>
        <v>9/29/1950</v>
      </c>
      <c r="D409" s="1" t="str">
        <f>May!I73</f>
        <v>Basic</v>
      </c>
      <c r="E409" s="1" t="str">
        <f>May!J73</f>
        <v>White</v>
      </c>
    </row>
    <row r="410">
      <c r="A410" s="1" t="str">
        <f>May!F74</f>
        <v>100185</v>
      </c>
      <c r="B410" s="1" t="str">
        <f>May!G74</f>
        <v>05/20/2023</v>
      </c>
      <c r="C410" s="1" t="str">
        <f>May!H74</f>
        <v>7/29/1952</v>
      </c>
      <c r="D410" s="1" t="str">
        <f>May!I74</f>
        <v>Basic</v>
      </c>
      <c r="E410" s="1" t="str">
        <f>May!J74</f>
        <v>Asian</v>
      </c>
    </row>
    <row r="411">
      <c r="A411" s="1" t="str">
        <f>May!F75</f>
        <v>586258</v>
      </c>
      <c r="B411" s="1" t="str">
        <f>May!G75</f>
        <v>05/30/2023</v>
      </c>
      <c r="C411" s="1" t="str">
        <f>May!H75</f>
        <v>12/12/2018</v>
      </c>
      <c r="D411" s="1" t="str">
        <f>May!I75</f>
        <v>Platinum</v>
      </c>
      <c r="E411" s="1" t="str">
        <f>May!J75</f>
        <v>Black</v>
      </c>
    </row>
    <row r="412">
      <c r="A412" s="1" t="str">
        <f>May!F76</f>
        <v>352584</v>
      </c>
      <c r="B412" s="1" t="str">
        <f>May!G76</f>
        <v>05/16/2023</v>
      </c>
      <c r="C412" s="1" t="str">
        <f>May!H76</f>
        <v>6/13/2000</v>
      </c>
      <c r="D412" s="1" t="str">
        <f>May!I76</f>
        <v>Basic</v>
      </c>
      <c r="E412" s="1" t="str">
        <f>May!J76</f>
        <v>Black</v>
      </c>
    </row>
    <row r="413">
      <c r="A413" s="1" t="str">
        <f>May!F77</f>
        <v>248692</v>
      </c>
      <c r="B413" s="1" t="str">
        <f>May!G77</f>
        <v>05/1/2023</v>
      </c>
      <c r="C413" s="1" t="str">
        <f>May!H77</f>
        <v>3/10/1949</v>
      </c>
      <c r="D413" s="1" t="str">
        <f>May!I77</f>
        <v>Basic</v>
      </c>
      <c r="E413" s="1" t="str">
        <f>May!J77</f>
        <v>Black</v>
      </c>
    </row>
    <row r="414">
      <c r="A414" s="1" t="str">
        <f>June!F2</f>
        <v>221128</v>
      </c>
      <c r="B414" s="1" t="str">
        <f>June!G2</f>
        <v>06/29/2023</v>
      </c>
      <c r="C414" s="1" t="str">
        <f>June!H2</f>
        <v>8/16/1978</v>
      </c>
      <c r="D414" s="1" t="str">
        <f>June!I2</f>
        <v>Basic</v>
      </c>
      <c r="E414" s="1" t="str">
        <f>June!J2</f>
        <v>Black</v>
      </c>
    </row>
    <row r="415">
      <c r="A415" s="1" t="str">
        <f>June!F3</f>
        <v>621556</v>
      </c>
      <c r="B415" s="1" t="str">
        <f>June!G3</f>
        <v>06/18/2023</v>
      </c>
      <c r="C415" s="1" t="str">
        <f>June!H3</f>
        <v>12/12/2010</v>
      </c>
      <c r="D415" s="1" t="str">
        <f>June!I3</f>
        <v>Basic</v>
      </c>
      <c r="E415" s="1" t="str">
        <f>June!J3</f>
        <v>White</v>
      </c>
    </row>
    <row r="416">
      <c r="A416" s="1" t="str">
        <f>June!F4</f>
        <v>725200</v>
      </c>
      <c r="B416" s="1" t="str">
        <f>June!G4</f>
        <v>06/23/2023</v>
      </c>
      <c r="C416" s="1" t="str">
        <f>June!H4</f>
        <v>3/26/1952</v>
      </c>
      <c r="D416" s="1" t="str">
        <f>June!I4</f>
        <v>Basic</v>
      </c>
      <c r="E416" s="1" t="str">
        <f>June!J4</f>
        <v>Asian</v>
      </c>
    </row>
    <row r="417">
      <c r="A417" s="1" t="str">
        <f>June!F5</f>
        <v>120476</v>
      </c>
      <c r="B417" s="1" t="str">
        <f>June!G5</f>
        <v>06/18/2023</v>
      </c>
      <c r="C417" s="1" t="str">
        <f>June!H5</f>
        <v>5/27/1976</v>
      </c>
      <c r="D417" s="1" t="str">
        <f>June!I5</f>
        <v>Platinum</v>
      </c>
      <c r="E417" s="1" t="str">
        <f>June!J5</f>
        <v>Other</v>
      </c>
    </row>
    <row r="418">
      <c r="A418" s="1" t="str">
        <f>June!F6</f>
        <v>314997</v>
      </c>
      <c r="B418" s="1" t="str">
        <f>June!G6</f>
        <v>06/23/2023</v>
      </c>
      <c r="C418" s="1" t="str">
        <f>June!H6</f>
        <v>7/31/2001</v>
      </c>
      <c r="D418" s="1" t="str">
        <f>June!I6</f>
        <v>Gold</v>
      </c>
      <c r="E418" s="1" t="str">
        <f>June!J6</f>
        <v>Other</v>
      </c>
    </row>
    <row r="419">
      <c r="A419" s="1" t="str">
        <f>June!F7</f>
        <v>667852</v>
      </c>
      <c r="B419" s="1" t="str">
        <f>June!G7</f>
        <v>06/27/2023</v>
      </c>
      <c r="C419" s="1" t="str">
        <f>June!H7</f>
        <v>3/28/1947</v>
      </c>
      <c r="D419" s="1" t="str">
        <f>June!I7</f>
        <v>Basic</v>
      </c>
      <c r="E419" s="1" t="str">
        <f>June!J7</f>
        <v>Black</v>
      </c>
    </row>
    <row r="420">
      <c r="A420" s="1" t="str">
        <f>June!F8</f>
        <v>890532</v>
      </c>
      <c r="B420" s="1" t="str">
        <f>June!G8</f>
        <v>06/16/2023</v>
      </c>
      <c r="C420" s="1" t="str">
        <f>June!H8</f>
        <v>4/15/1988</v>
      </c>
      <c r="D420" s="1" t="str">
        <f>June!I8</f>
        <v>Gold</v>
      </c>
      <c r="E420" s="1" t="str">
        <f>June!J8</f>
        <v>White</v>
      </c>
    </row>
    <row r="421">
      <c r="A421" s="1" t="str">
        <f>June!F9</f>
        <v>223660</v>
      </c>
      <c r="B421" s="1" t="str">
        <f>June!G9</f>
        <v>06/28/2023</v>
      </c>
      <c r="C421" s="1" t="str">
        <f>June!H9</f>
        <v>10/20/1986</v>
      </c>
      <c r="D421" s="1" t="str">
        <f>June!I9</f>
        <v>Gold</v>
      </c>
      <c r="E421" s="1" t="str">
        <f>June!J9</f>
        <v>White</v>
      </c>
    </row>
    <row r="422">
      <c r="A422" s="1" t="str">
        <f>June!F10</f>
        <v>460383</v>
      </c>
      <c r="B422" s="1" t="str">
        <f>June!G10</f>
        <v>06/29/2023</v>
      </c>
      <c r="C422" s="1" t="str">
        <f>June!H10</f>
        <v>8/16/1994</v>
      </c>
      <c r="D422" s="1" t="str">
        <f>June!I10</f>
        <v>Basic</v>
      </c>
      <c r="E422" s="1" t="str">
        <f>June!J10</f>
        <v>Black</v>
      </c>
    </row>
    <row r="423">
      <c r="A423" s="1" t="str">
        <f>June!F11</f>
        <v>994289</v>
      </c>
      <c r="B423" s="1" t="str">
        <f>June!G11</f>
        <v>06/16/2023</v>
      </c>
      <c r="C423" s="1" t="str">
        <f>June!H11</f>
        <v>5/9/1990</v>
      </c>
      <c r="D423" s="1" t="str">
        <f>June!I11</f>
        <v>Gold</v>
      </c>
      <c r="E423" s="1" t="str">
        <f>June!J11</f>
        <v>White</v>
      </c>
    </row>
    <row r="424">
      <c r="A424" s="1" t="str">
        <f>June!F12</f>
        <v>202785</v>
      </c>
      <c r="B424" s="1" t="str">
        <f>June!G12</f>
        <v>06/8/2023</v>
      </c>
      <c r="C424" s="1" t="str">
        <f>June!H12</f>
        <v>9/11/1948</v>
      </c>
      <c r="D424" s="1" t="str">
        <f>June!I12</f>
        <v>Platinum</v>
      </c>
      <c r="E424" s="1" t="str">
        <f>June!J12</f>
        <v>Black</v>
      </c>
    </row>
    <row r="425">
      <c r="A425" s="1" t="str">
        <f>June!F13</f>
        <v>539530</v>
      </c>
      <c r="B425" s="1" t="str">
        <f>June!G13</f>
        <v>06/20/2023</v>
      </c>
      <c r="C425" s="1" t="str">
        <f>June!H13</f>
        <v>3/2/1983</v>
      </c>
      <c r="D425" s="1" t="str">
        <f>June!I13</f>
        <v>Basic</v>
      </c>
      <c r="E425" s="1" t="str">
        <f>June!J13</f>
        <v>Other</v>
      </c>
    </row>
    <row r="426">
      <c r="A426" s="1" t="str">
        <f>June!F14</f>
        <v>868733</v>
      </c>
      <c r="B426" s="1" t="str">
        <f>June!G14</f>
        <v>06/22/2023</v>
      </c>
      <c r="C426" s="1" t="str">
        <f>June!H14</f>
        <v>2/17/1967</v>
      </c>
      <c r="D426" s="1" t="str">
        <f>June!I14</f>
        <v>Basic</v>
      </c>
      <c r="E426" s="1" t="str">
        <f>June!J14</f>
        <v>Asian</v>
      </c>
    </row>
    <row r="427">
      <c r="A427" s="1" t="str">
        <f>June!F15</f>
        <v>970794</v>
      </c>
      <c r="B427" s="1" t="str">
        <f>June!G15</f>
        <v>06/26/2023</v>
      </c>
      <c r="C427" s="1" t="str">
        <f>June!H15</f>
        <v>11/1/1969</v>
      </c>
      <c r="D427" s="1" t="str">
        <f>June!I15</f>
        <v>Platinum</v>
      </c>
      <c r="E427" s="1" t="str">
        <f>June!J15</f>
        <v>Asian</v>
      </c>
    </row>
    <row r="428">
      <c r="A428" s="1" t="str">
        <f>June!F16</f>
        <v>467340</v>
      </c>
      <c r="B428" s="1" t="str">
        <f>June!G16</f>
        <v>06/19/2023</v>
      </c>
      <c r="C428" s="1" t="str">
        <f>June!H16</f>
        <v>9/4/1984</v>
      </c>
      <c r="D428" s="1" t="str">
        <f>June!I16</f>
        <v>Platinum</v>
      </c>
      <c r="E428" s="1" t="str">
        <f>June!J16</f>
        <v>White</v>
      </c>
    </row>
    <row r="429">
      <c r="A429" s="1" t="str">
        <f>June!F17</f>
        <v>569939</v>
      </c>
      <c r="B429" s="1" t="str">
        <f>June!G17</f>
        <v>06/15/2023</v>
      </c>
      <c r="C429" s="1" t="str">
        <f>June!H17</f>
        <v>12/11/2015</v>
      </c>
      <c r="D429" s="1" t="str">
        <f>June!I17</f>
        <v>Gold</v>
      </c>
      <c r="E429" s="1" t="str">
        <f>June!J17</f>
        <v>Black</v>
      </c>
    </row>
    <row r="430">
      <c r="A430" s="1" t="str">
        <f>June!F18</f>
        <v>925655</v>
      </c>
      <c r="B430" s="1" t="str">
        <f>June!G18</f>
        <v>06/26/2023</v>
      </c>
      <c r="C430" s="1" t="str">
        <f>June!H18</f>
        <v>12/26/2017</v>
      </c>
      <c r="D430" s="1" t="str">
        <f>June!I18</f>
        <v>Gold</v>
      </c>
      <c r="E430" s="1" t="str">
        <f>June!J18</f>
        <v>Asian</v>
      </c>
    </row>
    <row r="431">
      <c r="A431" s="1" t="str">
        <f>June!F19</f>
        <v>589567</v>
      </c>
      <c r="B431" s="1" t="str">
        <f>June!G19</f>
        <v>06/17/2023</v>
      </c>
      <c r="C431" s="1" t="str">
        <f>June!H19</f>
        <v>5/10/1961</v>
      </c>
      <c r="D431" s="1" t="str">
        <f>June!I19</f>
        <v>Platinum</v>
      </c>
      <c r="E431" s="1" t="str">
        <f>June!J19</f>
        <v>Black</v>
      </c>
    </row>
    <row r="432">
      <c r="A432" s="1" t="str">
        <f>June!F20</f>
        <v>957074</v>
      </c>
      <c r="B432" s="1" t="str">
        <f>June!G20</f>
        <v>06/28/2023</v>
      </c>
      <c r="C432" s="1" t="str">
        <f>June!H20</f>
        <v>9/18/1964</v>
      </c>
      <c r="D432" s="1" t="str">
        <f>June!I20</f>
        <v>Gold</v>
      </c>
      <c r="E432" s="1" t="str">
        <f>June!J20</f>
        <v>Other</v>
      </c>
    </row>
    <row r="433">
      <c r="A433" s="1" t="str">
        <f>June!F21</f>
        <v>601428</v>
      </c>
      <c r="B433" s="1" t="str">
        <f>June!G21</f>
        <v>06/29/2023</v>
      </c>
      <c r="C433" s="1" t="str">
        <f>June!H21</f>
        <v>12/23/1980</v>
      </c>
      <c r="D433" s="1" t="str">
        <f>June!I21</f>
        <v>Platinum</v>
      </c>
      <c r="E433" s="1" t="str">
        <f>June!J21</f>
        <v>White</v>
      </c>
    </row>
    <row r="434">
      <c r="A434" s="1" t="str">
        <f>June!F22</f>
        <v>713519</v>
      </c>
      <c r="B434" s="1" t="str">
        <f>June!G22</f>
        <v>06/4/2023</v>
      </c>
      <c r="C434" s="1" t="str">
        <f>June!H22</f>
        <v>2/25/1964</v>
      </c>
      <c r="D434" s="1" t="str">
        <f>June!I22</f>
        <v>Gold</v>
      </c>
      <c r="E434" s="1" t="str">
        <f>June!J22</f>
        <v>White</v>
      </c>
    </row>
    <row r="435">
      <c r="A435" s="1" t="str">
        <f>June!F23</f>
        <v>149481</v>
      </c>
      <c r="B435" s="1" t="str">
        <f>June!G23</f>
        <v>06/18/2023</v>
      </c>
      <c r="C435" s="1" t="str">
        <f>June!H23</f>
        <v>6/26/1959</v>
      </c>
      <c r="D435" s="1" t="str">
        <f>June!I23</f>
        <v>Basic</v>
      </c>
      <c r="E435" s="1" t="str">
        <f>June!J23</f>
        <v>Asian</v>
      </c>
    </row>
    <row r="436">
      <c r="A436" s="1" t="str">
        <f>June!F24</f>
        <v>496679</v>
      </c>
      <c r="B436" s="1" t="str">
        <f>June!G24</f>
        <v>06/8/2023</v>
      </c>
      <c r="C436" s="1" t="str">
        <f>June!H24</f>
        <v>10/19/1951</v>
      </c>
      <c r="D436" s="1" t="str">
        <f>June!I24</f>
        <v>Basic</v>
      </c>
      <c r="E436" s="1" t="str">
        <f>June!J24</f>
        <v>Black</v>
      </c>
    </row>
    <row r="437">
      <c r="A437" s="1" t="str">
        <f>June!F25</f>
        <v>549280</v>
      </c>
      <c r="B437" s="1" t="str">
        <f>June!G25</f>
        <v>06/30/2023</v>
      </c>
      <c r="C437" s="1" t="str">
        <f>June!H25</f>
        <v>12/3/1971</v>
      </c>
      <c r="D437" s="1" t="str">
        <f>June!I25</f>
        <v>Platinum</v>
      </c>
      <c r="E437" s="1" t="str">
        <f>June!J25</f>
        <v>Black</v>
      </c>
    </row>
    <row r="438">
      <c r="A438" s="1" t="str">
        <f>June!F26</f>
        <v>731015</v>
      </c>
      <c r="B438" s="1" t="str">
        <f>June!G26</f>
        <v>06/10/2023</v>
      </c>
      <c r="C438" s="1" t="str">
        <f>June!H26</f>
        <v>12/2/1955</v>
      </c>
      <c r="D438" s="1" t="str">
        <f>June!I26</f>
        <v>Basic</v>
      </c>
      <c r="E438" s="1" t="str">
        <f>June!J26</f>
        <v>Other</v>
      </c>
    </row>
    <row r="439">
      <c r="A439" s="1" t="str">
        <f>June!F27</f>
        <v>564633</v>
      </c>
      <c r="B439" s="1" t="str">
        <f>June!G27</f>
        <v>06/20/2023</v>
      </c>
      <c r="C439" s="1" t="str">
        <f>June!H27</f>
        <v>6/1/2011</v>
      </c>
      <c r="D439" s="1" t="str">
        <f>June!I27</f>
        <v>Gold</v>
      </c>
      <c r="E439" s="1" t="str">
        <f>June!J27</f>
        <v>Black</v>
      </c>
    </row>
    <row r="440">
      <c r="A440" s="1" t="str">
        <f>June!F28</f>
        <v>979311</v>
      </c>
      <c r="B440" s="1" t="str">
        <f>June!G28</f>
        <v>06/8/2023</v>
      </c>
      <c r="C440" s="1" t="str">
        <f>June!H28</f>
        <v>12/8/2010</v>
      </c>
      <c r="D440" s="1" t="str">
        <f>June!I28</f>
        <v>Platinum</v>
      </c>
      <c r="E440" s="1" t="str">
        <f>June!J28</f>
        <v>White</v>
      </c>
    </row>
    <row r="441">
      <c r="A441" s="1" t="str">
        <f>June!F29</f>
        <v>492316</v>
      </c>
      <c r="B441" s="1" t="str">
        <f>June!G29</f>
        <v>06/13/2023</v>
      </c>
      <c r="C441" s="1" t="str">
        <f>June!H29</f>
        <v>5/28/1964</v>
      </c>
      <c r="D441" s="1" t="str">
        <f>June!I29</f>
        <v>Platinum</v>
      </c>
      <c r="E441" s="1" t="str">
        <f>June!J29</f>
        <v>Other</v>
      </c>
    </row>
    <row r="442">
      <c r="A442" s="1" t="str">
        <f>June!F30</f>
        <v>458440</v>
      </c>
      <c r="B442" s="1" t="str">
        <f>June!G30</f>
        <v>06/4/2023</v>
      </c>
      <c r="C442" s="1" t="str">
        <f>June!H30</f>
        <v>7/21/1989</v>
      </c>
      <c r="D442" s="1" t="str">
        <f>June!I30</f>
        <v>Gold</v>
      </c>
      <c r="E442" s="1" t="str">
        <f>June!J30</f>
        <v>White</v>
      </c>
    </row>
    <row r="443">
      <c r="A443" s="1" t="str">
        <f>June!F31</f>
        <v>850891</v>
      </c>
      <c r="B443" s="1" t="str">
        <f>June!G31</f>
        <v>06/11/2023</v>
      </c>
      <c r="C443" s="1" t="str">
        <f>June!H31</f>
        <v>4/14/1941</v>
      </c>
      <c r="D443" s="1" t="str">
        <f>June!I31</f>
        <v>Basic</v>
      </c>
      <c r="E443" s="1" t="str">
        <f>June!J31</f>
        <v>Black</v>
      </c>
    </row>
    <row r="444">
      <c r="A444" s="1" t="str">
        <f>June!F32</f>
        <v>560790</v>
      </c>
      <c r="B444" s="1" t="str">
        <f>June!G32</f>
        <v>06/1/2023</v>
      </c>
      <c r="C444" s="1" t="str">
        <f>June!H32</f>
        <v>5/25/2006</v>
      </c>
      <c r="D444" s="1" t="str">
        <f>June!I32</f>
        <v>Basic</v>
      </c>
      <c r="E444" s="1" t="str">
        <f>June!J32</f>
        <v>Other</v>
      </c>
    </row>
    <row r="445">
      <c r="A445" s="1" t="str">
        <f>June!F33</f>
        <v>336329</v>
      </c>
      <c r="B445" s="1" t="str">
        <f>June!G33</f>
        <v>06/28/2023</v>
      </c>
      <c r="C445" s="1" t="str">
        <f>June!H33</f>
        <v>1/23/1947</v>
      </c>
      <c r="D445" s="1" t="str">
        <f>June!I33</f>
        <v>Platinum</v>
      </c>
      <c r="E445" s="1" t="str">
        <f>June!J33</f>
        <v>White</v>
      </c>
    </row>
    <row r="446">
      <c r="A446" s="1" t="str">
        <f>June!F34</f>
        <v>202010</v>
      </c>
      <c r="B446" s="1" t="str">
        <f>June!G34</f>
        <v>06/9/2023</v>
      </c>
      <c r="C446" s="1" t="str">
        <f>June!H34</f>
        <v>11/23/1988</v>
      </c>
      <c r="D446" s="1" t="str">
        <f>June!I34</f>
        <v>Gold</v>
      </c>
      <c r="E446" s="1" t="str">
        <f>June!J34</f>
        <v>Black</v>
      </c>
    </row>
    <row r="447">
      <c r="A447" s="1" t="str">
        <f>June!F35</f>
        <v>649840</v>
      </c>
      <c r="B447" s="1" t="str">
        <f>June!G35</f>
        <v>06/11/2023</v>
      </c>
      <c r="C447" s="1" t="str">
        <f>June!H35</f>
        <v>2/28/1947</v>
      </c>
      <c r="D447" s="1" t="str">
        <f>June!I35</f>
        <v>Basic</v>
      </c>
      <c r="E447" s="1" t="str">
        <f>June!J35</f>
        <v>Asian</v>
      </c>
    </row>
    <row r="448">
      <c r="A448" s="1" t="str">
        <f>June!F36</f>
        <v>949894</v>
      </c>
      <c r="B448" s="1" t="str">
        <f>June!G36</f>
        <v>06/22/2023</v>
      </c>
      <c r="C448" s="1" t="str">
        <f>June!H36</f>
        <v>12/21/1946</v>
      </c>
      <c r="D448" s="1" t="str">
        <f>June!I36</f>
        <v>Gold</v>
      </c>
      <c r="E448" s="1" t="str">
        <f>June!J36</f>
        <v>Asian</v>
      </c>
    </row>
    <row r="449">
      <c r="A449" s="1" t="str">
        <f>June!F37</f>
        <v>234458</v>
      </c>
      <c r="B449" s="1" t="str">
        <f>June!G37</f>
        <v>06/27/2023</v>
      </c>
      <c r="C449" s="1" t="str">
        <f>June!H37</f>
        <v>5/29/2010</v>
      </c>
      <c r="D449" s="1" t="str">
        <f>June!I37</f>
        <v>Basic</v>
      </c>
      <c r="E449" s="1" t="str">
        <f>June!J37</f>
        <v>White</v>
      </c>
    </row>
    <row r="450">
      <c r="A450" s="1" t="str">
        <f>June!F38</f>
        <v>466462</v>
      </c>
      <c r="B450" s="1" t="str">
        <f>June!G38</f>
        <v>06/19/2023</v>
      </c>
      <c r="C450" s="1" t="str">
        <f>June!H38</f>
        <v>5/8/1942</v>
      </c>
      <c r="D450" s="1" t="str">
        <f>June!I38</f>
        <v>Platinum</v>
      </c>
      <c r="E450" s="1" t="str">
        <f>June!J38</f>
        <v>Black</v>
      </c>
    </row>
    <row r="451">
      <c r="A451" s="1" t="str">
        <f>June!F39</f>
        <v>571041</v>
      </c>
      <c r="B451" s="1" t="str">
        <f>June!G39</f>
        <v>06/7/2023</v>
      </c>
      <c r="C451" s="1" t="str">
        <f>June!H39</f>
        <v>4/16/1947</v>
      </c>
      <c r="D451" s="1" t="str">
        <f>June!I39</f>
        <v>Basic</v>
      </c>
      <c r="E451" s="1" t="str">
        <f>June!J39</f>
        <v>Other</v>
      </c>
    </row>
    <row r="452">
      <c r="A452" s="1" t="str">
        <f>June!F40</f>
        <v>847929</v>
      </c>
      <c r="B452" s="1" t="str">
        <f>June!G40</f>
        <v>06/16/2023</v>
      </c>
      <c r="C452" s="1" t="str">
        <f>June!H40</f>
        <v>10/14/1951</v>
      </c>
      <c r="D452" s="1" t="str">
        <f>June!I40</f>
        <v>Basic</v>
      </c>
      <c r="E452" s="1" t="str">
        <f>June!J40</f>
        <v>Asian</v>
      </c>
    </row>
    <row r="453">
      <c r="A453" s="1" t="str">
        <f>June!F41</f>
        <v>865336</v>
      </c>
      <c r="B453" s="1" t="str">
        <f>June!G41</f>
        <v>06/15/2023</v>
      </c>
      <c r="C453" s="1" t="str">
        <f>June!H41</f>
        <v>11/27/1969</v>
      </c>
      <c r="D453" s="1" t="str">
        <f>June!I41</f>
        <v>Gold</v>
      </c>
      <c r="E453" s="1" t="str">
        <f>June!J41</f>
        <v>Other</v>
      </c>
    </row>
    <row r="454">
      <c r="A454" s="1" t="str">
        <f>June!F42</f>
        <v>900289</v>
      </c>
      <c r="B454" s="1" t="str">
        <f>June!G42</f>
        <v>06/16/2023</v>
      </c>
      <c r="C454" s="1" t="str">
        <f>June!H42</f>
        <v>1/29/1987</v>
      </c>
      <c r="D454" s="1" t="str">
        <f>June!I42</f>
        <v>Basic</v>
      </c>
      <c r="E454" s="1" t="str">
        <f>June!J42</f>
        <v>Other</v>
      </c>
    </row>
    <row r="455">
      <c r="A455" s="1" t="str">
        <f>June!F43</f>
        <v>343987</v>
      </c>
      <c r="B455" s="1" t="str">
        <f>June!G43</f>
        <v>06/25/2023</v>
      </c>
      <c r="C455" s="1" t="str">
        <f>June!H43</f>
        <v>7/31/2010</v>
      </c>
      <c r="D455" s="1" t="str">
        <f>June!I43</f>
        <v>Gold</v>
      </c>
      <c r="E455" s="1" t="str">
        <f>June!J43</f>
        <v>Other</v>
      </c>
    </row>
    <row r="456">
      <c r="A456" s="1" t="str">
        <f>June!F44</f>
        <v>345349</v>
      </c>
      <c r="B456" s="1" t="str">
        <f>June!G44</f>
        <v>06/26/2023</v>
      </c>
      <c r="C456" s="1" t="str">
        <f>June!H44</f>
        <v>2/22/2013</v>
      </c>
      <c r="D456" s="1" t="str">
        <f>June!I44</f>
        <v>Basic</v>
      </c>
      <c r="E456" s="1" t="str">
        <f>June!J44</f>
        <v>Black</v>
      </c>
    </row>
    <row r="457">
      <c r="A457" s="1" t="str">
        <f>June!F45</f>
        <v>430898</v>
      </c>
      <c r="B457" s="1" t="str">
        <f>June!G45</f>
        <v>06/11/2023</v>
      </c>
      <c r="C457" s="1" t="str">
        <f>June!H45</f>
        <v>5/4/1947</v>
      </c>
      <c r="D457" s="1" t="str">
        <f>June!I45</f>
        <v>Basic</v>
      </c>
      <c r="E457" s="1" t="str">
        <f>June!J45</f>
        <v>Other</v>
      </c>
    </row>
    <row r="458">
      <c r="A458" s="1" t="str">
        <f>June!F46</f>
        <v>131132</v>
      </c>
      <c r="B458" s="1" t="str">
        <f>June!G46</f>
        <v>06/29/2023</v>
      </c>
      <c r="C458" s="1" t="str">
        <f>June!H46</f>
        <v>8/6/1949</v>
      </c>
      <c r="D458" s="1" t="str">
        <f>June!I46</f>
        <v>Platinum</v>
      </c>
      <c r="E458" s="1" t="str">
        <f>June!J46</f>
        <v>White</v>
      </c>
    </row>
    <row r="459">
      <c r="A459" s="1" t="str">
        <f>June!F47</f>
        <v>814220</v>
      </c>
      <c r="B459" s="1" t="str">
        <f>June!G47</f>
        <v>06/9/2023</v>
      </c>
      <c r="C459" s="1" t="str">
        <f>June!H47</f>
        <v>4/21/1942</v>
      </c>
      <c r="D459" s="1" t="str">
        <f>June!I47</f>
        <v>Basic</v>
      </c>
      <c r="E459" s="1" t="str">
        <f>June!J47</f>
        <v>Other</v>
      </c>
    </row>
    <row r="460">
      <c r="A460" s="1" t="str">
        <f>June!F48</f>
        <v>467421</v>
      </c>
      <c r="B460" s="1" t="str">
        <f>June!G48</f>
        <v>06/2/2023</v>
      </c>
      <c r="C460" s="1" t="str">
        <f>June!H48</f>
        <v>4/12/1975</v>
      </c>
      <c r="D460" s="1" t="str">
        <f>June!I48</f>
        <v>Basic</v>
      </c>
      <c r="E460" s="1" t="str">
        <f>June!J48</f>
        <v>Asian</v>
      </c>
    </row>
    <row r="461">
      <c r="A461" s="1" t="str">
        <f>June!F49</f>
        <v>687384</v>
      </c>
      <c r="B461" s="1" t="str">
        <f>June!G49</f>
        <v>06/15/2023</v>
      </c>
      <c r="C461" s="1" t="str">
        <f>June!H49</f>
        <v>4/2/1963</v>
      </c>
      <c r="D461" s="1" t="str">
        <f>June!I49</f>
        <v>Basic</v>
      </c>
      <c r="E461" s="1" t="str">
        <f>June!J49</f>
        <v>Asian</v>
      </c>
    </row>
    <row r="462">
      <c r="A462" s="1" t="str">
        <f>June!F50</f>
        <v>202946</v>
      </c>
      <c r="B462" s="1" t="str">
        <f>June!G50</f>
        <v>06/18/2023</v>
      </c>
      <c r="C462" s="1" t="str">
        <f>June!H50</f>
        <v>9/16/1960</v>
      </c>
      <c r="D462" s="1" t="str">
        <f>June!I50</f>
        <v>Gold</v>
      </c>
      <c r="E462" s="1" t="str">
        <f>June!J50</f>
        <v>Black</v>
      </c>
    </row>
    <row r="463">
      <c r="A463" s="1" t="str">
        <f>June!F51</f>
        <v>683299</v>
      </c>
      <c r="B463" s="1" t="str">
        <f>June!G51</f>
        <v>06/5/2023</v>
      </c>
      <c r="C463" s="1" t="str">
        <f>June!H51</f>
        <v>9/12/2000</v>
      </c>
      <c r="D463" s="1" t="str">
        <f>June!I51</f>
        <v>Basic</v>
      </c>
      <c r="E463" s="1" t="str">
        <f>June!J51</f>
        <v>Asian</v>
      </c>
    </row>
    <row r="464">
      <c r="A464" s="1" t="str">
        <f>June!F52</f>
        <v>503844</v>
      </c>
      <c r="B464" s="1" t="str">
        <f>June!G52</f>
        <v>06/25/2023</v>
      </c>
      <c r="C464" s="1" t="str">
        <f>June!H52</f>
        <v>10/2/1981</v>
      </c>
      <c r="D464" s="1" t="str">
        <f>June!I52</f>
        <v>Basic</v>
      </c>
      <c r="E464" s="1" t="str">
        <f>June!J52</f>
        <v>Asian</v>
      </c>
    </row>
    <row r="465">
      <c r="A465" s="1" t="str">
        <f>June!F53</f>
        <v>214055</v>
      </c>
      <c r="B465" s="1" t="str">
        <f>June!G53</f>
        <v>06/21/2023</v>
      </c>
      <c r="C465" s="1" t="str">
        <f>June!H53</f>
        <v>12/4/1976</v>
      </c>
      <c r="D465" s="1" t="str">
        <f>June!I53</f>
        <v>Basic</v>
      </c>
      <c r="E465" s="1" t="str">
        <f>June!J53</f>
        <v>Asian</v>
      </c>
    </row>
    <row r="466">
      <c r="A466" s="1" t="str">
        <f>June!F54</f>
        <v>830903</v>
      </c>
      <c r="B466" s="1" t="str">
        <f>June!G54</f>
        <v>06/7/2023</v>
      </c>
      <c r="C466" s="1" t="str">
        <f>June!H54</f>
        <v>3/3/1994</v>
      </c>
      <c r="D466" s="1" t="str">
        <f>June!I54</f>
        <v>Gold</v>
      </c>
      <c r="E466" s="1" t="str">
        <f>June!J54</f>
        <v>Other</v>
      </c>
    </row>
    <row r="467">
      <c r="A467" s="1" t="str">
        <f>June!F55</f>
        <v>654273</v>
      </c>
      <c r="B467" s="1" t="str">
        <f>June!G55</f>
        <v>06/16/2023</v>
      </c>
      <c r="C467" s="1" t="str">
        <f>June!H55</f>
        <v>10/10/1942</v>
      </c>
      <c r="D467" s="1" t="str">
        <f>June!I55</f>
        <v>Gold</v>
      </c>
      <c r="E467" s="1" t="str">
        <f>June!J55</f>
        <v>Black</v>
      </c>
    </row>
    <row r="468">
      <c r="A468" s="1" t="str">
        <f>June!F56</f>
        <v>451936</v>
      </c>
      <c r="B468" s="1" t="str">
        <f>June!G56</f>
        <v>06/10/2023</v>
      </c>
      <c r="C468" s="1" t="str">
        <f>June!H56</f>
        <v>10/22/1958</v>
      </c>
      <c r="D468" s="1" t="str">
        <f>June!I56</f>
        <v>Basic</v>
      </c>
      <c r="E468" s="1" t="str">
        <f>June!J56</f>
        <v>Asian</v>
      </c>
    </row>
    <row r="469">
      <c r="A469" s="1" t="str">
        <f>June!F57</f>
        <v>561709</v>
      </c>
      <c r="B469" s="1" t="str">
        <f>June!G57</f>
        <v>06/30/2023</v>
      </c>
      <c r="C469" s="1" t="str">
        <f>June!H57</f>
        <v>11/23/1959</v>
      </c>
      <c r="D469" s="1" t="str">
        <f>June!I57</f>
        <v>Basic</v>
      </c>
      <c r="E469" s="1" t="str">
        <f>June!J57</f>
        <v>Asian</v>
      </c>
    </row>
    <row r="470">
      <c r="A470" s="1" t="str">
        <f>June!F58</f>
        <v>603071</v>
      </c>
      <c r="B470" s="1" t="str">
        <f>June!G58</f>
        <v>06/25/2023</v>
      </c>
      <c r="C470" s="1" t="str">
        <f>June!H58</f>
        <v>5/7/1969</v>
      </c>
      <c r="D470" s="1" t="str">
        <f>June!I58</f>
        <v>Basic</v>
      </c>
      <c r="E470" s="1" t="str">
        <f>June!J58</f>
        <v>Other</v>
      </c>
    </row>
    <row r="471">
      <c r="A471" s="1" t="str">
        <f>June!F59</f>
        <v>298919</v>
      </c>
      <c r="B471" s="1" t="str">
        <f>June!G59</f>
        <v>06/3/2023</v>
      </c>
      <c r="C471" s="1" t="str">
        <f>June!H59</f>
        <v>7/17/2008</v>
      </c>
      <c r="D471" s="1" t="str">
        <f>June!I59</f>
        <v>Platinum</v>
      </c>
      <c r="E471" s="1" t="str">
        <f>June!J59</f>
        <v>Asian</v>
      </c>
    </row>
    <row r="472">
      <c r="A472" s="1" t="str">
        <f>June!F60</f>
        <v>729571</v>
      </c>
      <c r="B472" s="1" t="str">
        <f>June!G60</f>
        <v>06/26/2023</v>
      </c>
      <c r="C472" s="1" t="str">
        <f>June!H60</f>
        <v>8/1/2004</v>
      </c>
      <c r="D472" s="1" t="str">
        <f>June!I60</f>
        <v>Platinum</v>
      </c>
      <c r="E472" s="1" t="str">
        <f>June!J60</f>
        <v>Black</v>
      </c>
    </row>
    <row r="473">
      <c r="A473" s="1" t="str">
        <f>June!F61</f>
        <v>182216</v>
      </c>
      <c r="B473" s="1" t="str">
        <f>June!G61</f>
        <v>06/11/2023</v>
      </c>
      <c r="C473" s="1" t="str">
        <f>June!H61</f>
        <v>2/13/1979</v>
      </c>
      <c r="D473" s="1" t="str">
        <f>June!I61</f>
        <v>Platinum</v>
      </c>
      <c r="E473" s="1" t="str">
        <f>June!J61</f>
        <v>Other</v>
      </c>
    </row>
    <row r="474">
      <c r="A474" s="1" t="str">
        <f>June!F62</f>
        <v>510071</v>
      </c>
      <c r="B474" s="1" t="str">
        <f>June!G62</f>
        <v>06/13/2023</v>
      </c>
      <c r="C474" s="1" t="str">
        <f>June!H62</f>
        <v>10/10/1992</v>
      </c>
      <c r="D474" s="1" t="str">
        <f>June!I62</f>
        <v>Platinum</v>
      </c>
      <c r="E474" s="1" t="str">
        <f>June!J62</f>
        <v>Other</v>
      </c>
    </row>
    <row r="475">
      <c r="A475" s="1" t="str">
        <f>June!F63</f>
        <v>610633</v>
      </c>
      <c r="B475" s="1" t="str">
        <f>June!G63</f>
        <v>06/8/2023</v>
      </c>
      <c r="C475" s="1" t="str">
        <f>June!H63</f>
        <v>7/13/1993</v>
      </c>
      <c r="D475" s="1" t="str">
        <f>June!I63</f>
        <v>Gold</v>
      </c>
      <c r="E475" s="1" t="str">
        <f>June!J63</f>
        <v>Black</v>
      </c>
    </row>
    <row r="476">
      <c r="A476" s="1" t="str">
        <f>June!F64</f>
        <v>339084</v>
      </c>
      <c r="B476" s="1" t="str">
        <f>June!G64</f>
        <v>06/27/2023</v>
      </c>
      <c r="C476" s="1" t="str">
        <f>June!H64</f>
        <v>10/6/1963</v>
      </c>
      <c r="D476" s="1" t="str">
        <f>June!I64</f>
        <v>Platinum</v>
      </c>
      <c r="E476" s="1" t="str">
        <f>June!J64</f>
        <v>Asian</v>
      </c>
    </row>
    <row r="477">
      <c r="A477" s="1" t="str">
        <f>June!F65</f>
        <v>397552</v>
      </c>
      <c r="B477" s="1" t="str">
        <f>June!G65</f>
        <v>06/11/2023</v>
      </c>
      <c r="C477" s="1" t="str">
        <f>June!H65</f>
        <v>10/31/1941</v>
      </c>
      <c r="D477" s="1" t="str">
        <f>June!I65</f>
        <v>Gold</v>
      </c>
      <c r="E477" s="1" t="str">
        <f>June!J65</f>
        <v>Other</v>
      </c>
    </row>
    <row r="478">
      <c r="A478" s="1" t="str">
        <f>June!F66</f>
        <v>918799</v>
      </c>
      <c r="B478" s="1" t="str">
        <f>June!G66</f>
        <v>06/4/2023</v>
      </c>
      <c r="C478" s="1" t="str">
        <f>June!H66</f>
        <v>10/22/2010</v>
      </c>
      <c r="D478" s="1" t="str">
        <f>June!I66</f>
        <v>Gold</v>
      </c>
      <c r="E478" s="1" t="str">
        <f>June!J66</f>
        <v>White</v>
      </c>
    </row>
    <row r="479">
      <c r="A479" s="1" t="str">
        <f>June!F67</f>
        <v>700604</v>
      </c>
      <c r="B479" s="1" t="str">
        <f>June!G67</f>
        <v>06/30/2023</v>
      </c>
      <c r="C479" s="1" t="str">
        <f>June!H67</f>
        <v>8/24/1969</v>
      </c>
      <c r="D479" s="1" t="str">
        <f>June!I67</f>
        <v>Gold</v>
      </c>
      <c r="E479" s="1" t="str">
        <f>June!J67</f>
        <v>White</v>
      </c>
    </row>
    <row r="480">
      <c r="A480" s="1" t="str">
        <f>June!F68</f>
        <v>466954</v>
      </c>
      <c r="B480" s="1" t="str">
        <f>June!G68</f>
        <v>06/17/2023</v>
      </c>
      <c r="C480" s="1" t="str">
        <f>June!H68</f>
        <v>3/5/1955</v>
      </c>
      <c r="D480" s="1" t="str">
        <f>June!I68</f>
        <v>Basic</v>
      </c>
      <c r="E480" s="1" t="str">
        <f>June!J68</f>
        <v>Black</v>
      </c>
    </row>
    <row r="481">
      <c r="A481" s="1" t="str">
        <f>June!F69</f>
        <v>128016</v>
      </c>
      <c r="B481" s="1" t="str">
        <f>June!G69</f>
        <v>06/4/2023</v>
      </c>
      <c r="C481" s="1" t="str">
        <f>June!H69</f>
        <v>10/26/1952</v>
      </c>
      <c r="D481" s="1" t="str">
        <f>June!I69</f>
        <v>Platinum</v>
      </c>
      <c r="E481" s="1" t="str">
        <f>June!J69</f>
        <v>Black</v>
      </c>
    </row>
    <row r="482">
      <c r="A482" s="1" t="str">
        <f>June!F70</f>
        <v>436308</v>
      </c>
      <c r="B482" s="1" t="str">
        <f>June!G70</f>
        <v>06/24/2023</v>
      </c>
      <c r="C482" s="1" t="str">
        <f>June!H70</f>
        <v>10/3/1959</v>
      </c>
      <c r="D482" s="1" t="str">
        <f>June!I70</f>
        <v>Basic</v>
      </c>
      <c r="E482" s="1" t="str">
        <f>June!J70</f>
        <v>White</v>
      </c>
    </row>
    <row r="483">
      <c r="A483" s="1" t="str">
        <f>June!F71</f>
        <v>325644</v>
      </c>
      <c r="B483" s="1" t="str">
        <f>June!G71</f>
        <v>06/24/2023</v>
      </c>
      <c r="C483" s="1" t="str">
        <f>June!H71</f>
        <v>3/20/1995</v>
      </c>
      <c r="D483" s="1" t="str">
        <f>June!I71</f>
        <v>Basic</v>
      </c>
      <c r="E483" s="1" t="str">
        <f>June!J71</f>
        <v>White</v>
      </c>
    </row>
    <row r="484">
      <c r="A484" s="1" t="str">
        <f>June!F72</f>
        <v>809555</v>
      </c>
      <c r="B484" s="1" t="str">
        <f>June!G72</f>
        <v>06/26/2023</v>
      </c>
      <c r="C484" s="1" t="str">
        <f>June!H72</f>
        <v>5/7/1952</v>
      </c>
      <c r="D484" s="1" t="str">
        <f>June!I72</f>
        <v>Basic</v>
      </c>
      <c r="E484" s="1" t="str">
        <f>June!J72</f>
        <v>Other</v>
      </c>
    </row>
    <row r="485">
      <c r="A485" s="1" t="str">
        <f>June!F73</f>
        <v>907496</v>
      </c>
      <c r="B485" s="1" t="str">
        <f>June!G73</f>
        <v>06/9/2023</v>
      </c>
      <c r="C485" s="1" t="str">
        <f>June!H73</f>
        <v>12/22/2002</v>
      </c>
      <c r="D485" s="1" t="str">
        <f>June!I73</f>
        <v>Platinum</v>
      </c>
      <c r="E485" s="1" t="str">
        <f>June!J73</f>
        <v>Asian</v>
      </c>
    </row>
    <row r="486">
      <c r="A486" s="1" t="str">
        <f>June!F74</f>
        <v>459563</v>
      </c>
      <c r="B486" s="1" t="str">
        <f>June!G74</f>
        <v>06/6/2023</v>
      </c>
      <c r="C486" s="1" t="str">
        <f>June!H74</f>
        <v>3/15/1963</v>
      </c>
      <c r="D486" s="1" t="str">
        <f>June!I74</f>
        <v>Gold</v>
      </c>
      <c r="E486" s="1" t="str">
        <f>June!J74</f>
        <v>Black</v>
      </c>
    </row>
    <row r="487">
      <c r="A487" s="1" t="str">
        <f>June!F75</f>
        <v>302454</v>
      </c>
      <c r="B487" s="1" t="str">
        <f>June!G75</f>
        <v>06/19/2023</v>
      </c>
      <c r="C487" s="1" t="str">
        <f>June!H75</f>
        <v>7/25/2018</v>
      </c>
      <c r="D487" s="1" t="str">
        <f>June!I75</f>
        <v>Platinum</v>
      </c>
      <c r="E487" s="1" t="str">
        <f>June!J75</f>
        <v>Asian</v>
      </c>
    </row>
    <row r="488">
      <c r="A488" s="1" t="str">
        <f>June!F76</f>
        <v>791553</v>
      </c>
      <c r="B488" s="1" t="str">
        <f>June!G76</f>
        <v>06/28/2023</v>
      </c>
      <c r="C488" s="1" t="str">
        <f>June!H76</f>
        <v>9/24/1982</v>
      </c>
      <c r="D488" s="1" t="str">
        <f>June!I76</f>
        <v>Gold</v>
      </c>
      <c r="E488" s="1" t="str">
        <f>June!J76</f>
        <v>White</v>
      </c>
    </row>
    <row r="489">
      <c r="A489" s="1" t="str">
        <f>June!F77</f>
        <v>785906</v>
      </c>
      <c r="B489" s="1" t="str">
        <f>June!G77</f>
        <v>06/22/2023</v>
      </c>
      <c r="C489" s="1" t="str">
        <f>June!H77</f>
        <v>6/20/1967</v>
      </c>
      <c r="D489" s="1" t="str">
        <f>June!I77</f>
        <v>Basic</v>
      </c>
      <c r="E489" s="1" t="str">
        <f>June!J77</f>
        <v>Asian</v>
      </c>
    </row>
    <row r="490">
      <c r="A490" s="1" t="str">
        <f>June!F78</f>
        <v>717206</v>
      </c>
      <c r="B490" s="1" t="str">
        <f>June!G78</f>
        <v>06/21/2023</v>
      </c>
      <c r="C490" s="1" t="str">
        <f>June!H78</f>
        <v>6/19/1963</v>
      </c>
      <c r="D490" s="1" t="str">
        <f>June!I78</f>
        <v>Platinum</v>
      </c>
      <c r="E490" s="1" t="str">
        <f>June!J78</f>
        <v>Black</v>
      </c>
    </row>
    <row r="491">
      <c r="A491" s="1" t="str">
        <f>June!F79</f>
        <v>993112</v>
      </c>
      <c r="B491" s="1" t="str">
        <f>June!G79</f>
        <v>06/30/2023</v>
      </c>
      <c r="C491" s="1" t="str">
        <f>June!H79</f>
        <v>10/2/1942</v>
      </c>
      <c r="D491" s="1" t="str">
        <f>June!I79</f>
        <v>Platinum</v>
      </c>
      <c r="E491" s="1" t="str">
        <f>June!J79</f>
        <v>Asian</v>
      </c>
    </row>
    <row r="492">
      <c r="A492" s="1" t="str">
        <f>June!F80</f>
        <v>369873</v>
      </c>
      <c r="B492" s="1" t="str">
        <f>June!G80</f>
        <v>06/10/2023</v>
      </c>
      <c r="C492" s="1" t="str">
        <f>June!H80</f>
        <v>9/8/1972</v>
      </c>
      <c r="D492" s="1" t="str">
        <f>June!I80</f>
        <v>Gold</v>
      </c>
      <c r="E492" s="1" t="str">
        <f>June!J80</f>
        <v>Black</v>
      </c>
    </row>
    <row r="493">
      <c r="A493" s="1" t="str">
        <f>June!F81</f>
        <v>637797</v>
      </c>
      <c r="B493" s="1" t="str">
        <f>June!G81</f>
        <v>06/1/2023</v>
      </c>
      <c r="C493" s="1" t="str">
        <f>June!H81</f>
        <v>9/11/1956</v>
      </c>
      <c r="D493" s="1" t="str">
        <f>June!I81</f>
        <v>Platinum</v>
      </c>
      <c r="E493" s="1" t="str">
        <f>June!J81</f>
        <v>Asian</v>
      </c>
    </row>
    <row r="494">
      <c r="A494" s="1" t="str">
        <f>June!F82</f>
        <v>304982</v>
      </c>
      <c r="B494" s="1" t="str">
        <f>June!G82</f>
        <v>06/25/2023</v>
      </c>
      <c r="C494" s="1" t="str">
        <f>June!H82</f>
        <v>4/8/1979</v>
      </c>
      <c r="D494" s="1" t="str">
        <f>June!I82</f>
        <v>Platinum</v>
      </c>
      <c r="E494" s="1" t="str">
        <f>June!J82</f>
        <v>Other</v>
      </c>
    </row>
    <row r="495">
      <c r="A495" s="1" t="str">
        <f>June!F83</f>
        <v>338686</v>
      </c>
      <c r="B495" s="1" t="str">
        <f>June!G83</f>
        <v>06/25/2023</v>
      </c>
      <c r="C495" s="1" t="str">
        <f>June!H83</f>
        <v>12/17/1979</v>
      </c>
      <c r="D495" s="1" t="str">
        <f>June!I83</f>
        <v>Gold</v>
      </c>
      <c r="E495" s="1" t="str">
        <f>June!J83</f>
        <v>White</v>
      </c>
    </row>
    <row r="496">
      <c r="A496" s="1" t="str">
        <f>June!F84</f>
        <v>768053</v>
      </c>
      <c r="B496" s="1" t="str">
        <f>June!G84</f>
        <v>06/14/2023</v>
      </c>
      <c r="C496" s="1" t="str">
        <f>June!H84</f>
        <v>1/17/1998</v>
      </c>
      <c r="D496" s="1" t="str">
        <f>June!I84</f>
        <v>Gold</v>
      </c>
      <c r="E496" s="1" t="str">
        <f>June!J84</f>
        <v>White</v>
      </c>
    </row>
    <row r="497">
      <c r="A497" s="1" t="str">
        <f>June!F85</f>
        <v>349244</v>
      </c>
      <c r="B497" s="1" t="str">
        <f>June!G85</f>
        <v>06/3/2023</v>
      </c>
      <c r="C497" s="1" t="str">
        <f>June!H85</f>
        <v>1/18/2007</v>
      </c>
      <c r="D497" s="1" t="str">
        <f>June!I85</f>
        <v>Basic</v>
      </c>
      <c r="E497" s="1" t="str">
        <f>June!J85</f>
        <v>Asian</v>
      </c>
    </row>
    <row r="498">
      <c r="A498" s="1" t="str">
        <f>June!F86</f>
        <v>628497</v>
      </c>
      <c r="B498" s="1" t="str">
        <f>June!G86</f>
        <v>06/21/2023</v>
      </c>
      <c r="C498" s="1" t="str">
        <f>June!H86</f>
        <v>10/26/2005</v>
      </c>
      <c r="D498" s="1" t="str">
        <f>June!I86</f>
        <v>Platinum</v>
      </c>
      <c r="E498" s="1" t="str">
        <f>June!J86</f>
        <v>Asian</v>
      </c>
    </row>
    <row r="499">
      <c r="A499" s="1" t="str">
        <f>June!F87</f>
        <v>560440</v>
      </c>
      <c r="B499" s="1" t="str">
        <f>June!G87</f>
        <v>06/24/2023</v>
      </c>
      <c r="C499" s="1" t="str">
        <f>June!H87</f>
        <v>5/30/1979</v>
      </c>
      <c r="D499" s="1" t="str">
        <f>June!I87</f>
        <v>Basic</v>
      </c>
      <c r="E499" s="1" t="str">
        <f>June!J87</f>
        <v>Asian</v>
      </c>
    </row>
    <row r="500">
      <c r="A500" s="1" t="str">
        <f>June!F88</f>
        <v>881325</v>
      </c>
      <c r="B500" s="1" t="str">
        <f>June!G88</f>
        <v>06/21/2023</v>
      </c>
      <c r="C500" s="1" t="str">
        <f>June!H88</f>
        <v>7/11/1981</v>
      </c>
      <c r="D500" s="1" t="str">
        <f>June!I88</f>
        <v>Basic</v>
      </c>
      <c r="E500" s="1" t="str">
        <f>June!J88</f>
        <v>Other</v>
      </c>
    </row>
    <row r="501">
      <c r="A501" s="1" t="str">
        <f>June!F89</f>
        <v>311336</v>
      </c>
      <c r="B501" s="1" t="str">
        <f>June!G89</f>
        <v>06/22/2023</v>
      </c>
      <c r="C501" s="1" t="str">
        <f>June!H89</f>
        <v>11/12/2018</v>
      </c>
      <c r="D501" s="1" t="str">
        <f>June!I89</f>
        <v>Platinum</v>
      </c>
      <c r="E501" s="1" t="str">
        <f>June!J89</f>
        <v>Black</v>
      </c>
    </row>
    <row r="502">
      <c r="A502" s="1" t="str">
        <f>July!F2</f>
        <v>245830</v>
      </c>
      <c r="B502" s="1" t="str">
        <f>July!G2</f>
        <v>07/6/2023</v>
      </c>
      <c r="C502" s="1" t="str">
        <f>July!H2</f>
        <v>9/2/1972</v>
      </c>
      <c r="D502" s="1" t="str">
        <f>July!I2</f>
        <v>Basic</v>
      </c>
      <c r="E502" s="1" t="str">
        <f>July!J2</f>
        <v>Asian</v>
      </c>
    </row>
    <row r="503">
      <c r="A503" s="1" t="str">
        <f>July!F3</f>
        <v>814161</v>
      </c>
      <c r="B503" s="1" t="str">
        <f>July!G3</f>
        <v>07/3/2023</v>
      </c>
      <c r="C503" s="1" t="str">
        <f>July!H3</f>
        <v>12/2/1999</v>
      </c>
      <c r="D503" s="1" t="str">
        <f>July!I3</f>
        <v>Gold</v>
      </c>
      <c r="E503" s="1" t="str">
        <f>July!J3</f>
        <v>Black</v>
      </c>
    </row>
    <row r="504">
      <c r="A504" s="1" t="str">
        <f>July!F4</f>
        <v>593940</v>
      </c>
      <c r="B504" s="1" t="str">
        <f>July!G4</f>
        <v>07/16/2023</v>
      </c>
      <c r="C504" s="1" t="str">
        <f>July!H4</f>
        <v>3/18/1981</v>
      </c>
      <c r="D504" s="1" t="str">
        <f>July!I4</f>
        <v>Gold</v>
      </c>
      <c r="E504" s="1" t="str">
        <f>July!J4</f>
        <v>Black</v>
      </c>
    </row>
    <row r="505">
      <c r="A505" s="1" t="str">
        <f>July!F5</f>
        <v>419675</v>
      </c>
      <c r="B505" s="1" t="str">
        <f>July!G5</f>
        <v>07/27/2023</v>
      </c>
      <c r="C505" s="1" t="str">
        <f>July!H5</f>
        <v>6/19/1965</v>
      </c>
      <c r="D505" s="1" t="str">
        <f>July!I5</f>
        <v>Gold</v>
      </c>
      <c r="E505" s="1" t="str">
        <f>July!J5</f>
        <v>Black</v>
      </c>
    </row>
    <row r="506">
      <c r="A506" s="1" t="str">
        <f>July!F6</f>
        <v>849187</v>
      </c>
      <c r="B506" s="1" t="str">
        <f>July!G6</f>
        <v>07/8/2023</v>
      </c>
      <c r="C506" s="1" t="str">
        <f>July!H6</f>
        <v>10/27/1951</v>
      </c>
      <c r="D506" s="1" t="str">
        <f>July!I6</f>
        <v>Platinum</v>
      </c>
      <c r="E506" s="1" t="str">
        <f>July!J6</f>
        <v>Other</v>
      </c>
    </row>
    <row r="507">
      <c r="A507" s="1" t="str">
        <f>July!F7</f>
        <v>704346</v>
      </c>
      <c r="B507" s="1" t="str">
        <f>July!G7</f>
        <v>07/13/2023</v>
      </c>
      <c r="C507" s="1" t="str">
        <f>July!H7</f>
        <v>11/4/1978</v>
      </c>
      <c r="D507" s="1" t="str">
        <f>July!I7</f>
        <v>Gold</v>
      </c>
      <c r="E507" s="1" t="str">
        <f>July!J7</f>
        <v>Other</v>
      </c>
    </row>
    <row r="508">
      <c r="A508" s="1" t="str">
        <f>July!F8</f>
        <v>116248</v>
      </c>
      <c r="B508" s="1" t="str">
        <f>July!G8</f>
        <v>07/2/2023</v>
      </c>
      <c r="C508" s="1" t="str">
        <f>July!H8</f>
        <v>2/4/2004</v>
      </c>
      <c r="D508" s="1" t="str">
        <f>July!I8</f>
        <v>Basic</v>
      </c>
      <c r="E508" s="1" t="str">
        <f>July!J8</f>
        <v>White</v>
      </c>
    </row>
    <row r="509">
      <c r="A509" s="1" t="str">
        <f>July!F9</f>
        <v>489429</v>
      </c>
      <c r="B509" s="1" t="str">
        <f>July!G9</f>
        <v>07/1/2023</v>
      </c>
      <c r="C509" s="1" t="str">
        <f>July!H9</f>
        <v>11/16/2007</v>
      </c>
      <c r="D509" s="1" t="str">
        <f>July!I9</f>
        <v>Platinum</v>
      </c>
      <c r="E509" s="1" t="str">
        <f>July!J9</f>
        <v>Black</v>
      </c>
    </row>
    <row r="510">
      <c r="A510" s="1" t="str">
        <f>July!F10</f>
        <v>424911</v>
      </c>
      <c r="B510" s="1" t="str">
        <f>July!G10</f>
        <v>07/16/2023</v>
      </c>
      <c r="C510" s="1" t="str">
        <f>July!H10</f>
        <v>3/21/1947</v>
      </c>
      <c r="D510" s="1" t="str">
        <f>July!I10</f>
        <v>Platinum</v>
      </c>
      <c r="E510" s="1" t="str">
        <f>July!J10</f>
        <v>Asian</v>
      </c>
    </row>
    <row r="511">
      <c r="A511" s="1" t="str">
        <f>July!F11</f>
        <v>970978</v>
      </c>
      <c r="B511" s="1" t="str">
        <f>July!G11</f>
        <v>07/8/2023</v>
      </c>
      <c r="C511" s="1" t="str">
        <f>July!H11</f>
        <v>1/28/1945</v>
      </c>
      <c r="D511" s="1" t="str">
        <f>July!I11</f>
        <v>Platinum</v>
      </c>
      <c r="E511" s="1" t="str">
        <f>July!J11</f>
        <v>White</v>
      </c>
    </row>
    <row r="512">
      <c r="A512" s="1" t="str">
        <f>July!F12</f>
        <v>494955</v>
      </c>
      <c r="B512" s="1" t="str">
        <f>July!G12</f>
        <v>07/17/2023</v>
      </c>
      <c r="C512" s="1" t="str">
        <f>July!H12</f>
        <v>7/2/1985</v>
      </c>
      <c r="D512" s="1" t="str">
        <f>July!I12</f>
        <v>Platinum</v>
      </c>
      <c r="E512" s="1" t="str">
        <f>July!J12</f>
        <v>Other</v>
      </c>
    </row>
    <row r="513">
      <c r="A513" s="1" t="str">
        <f>July!F13</f>
        <v>481921</v>
      </c>
      <c r="B513" s="1" t="str">
        <f>July!G13</f>
        <v>07/19/2023</v>
      </c>
      <c r="C513" s="1" t="str">
        <f>July!H13</f>
        <v>5/5/1970</v>
      </c>
      <c r="D513" s="1" t="str">
        <f>July!I13</f>
        <v>Gold</v>
      </c>
      <c r="E513" s="1" t="str">
        <f>July!J13</f>
        <v>Asian</v>
      </c>
    </row>
    <row r="514">
      <c r="A514" s="1" t="str">
        <f>July!F14</f>
        <v>823045</v>
      </c>
      <c r="B514" s="1" t="str">
        <f>July!G14</f>
        <v>07/12/2023</v>
      </c>
      <c r="C514" s="1" t="str">
        <f>July!H14</f>
        <v>1/23/1990</v>
      </c>
      <c r="D514" s="1" t="str">
        <f>July!I14</f>
        <v>Basic</v>
      </c>
      <c r="E514" s="1" t="str">
        <f>July!J14</f>
        <v>Black</v>
      </c>
    </row>
    <row r="515">
      <c r="A515" s="1" t="str">
        <f>July!F15</f>
        <v>990258</v>
      </c>
      <c r="B515" s="1" t="str">
        <f>July!G15</f>
        <v>07/16/2023</v>
      </c>
      <c r="C515" s="1" t="str">
        <f>July!H15</f>
        <v>12/3/1998</v>
      </c>
      <c r="D515" s="1" t="str">
        <f>July!I15</f>
        <v>Gold</v>
      </c>
      <c r="E515" s="1" t="str">
        <f>July!J15</f>
        <v>Black</v>
      </c>
    </row>
    <row r="516">
      <c r="A516" s="1" t="str">
        <f>July!F16</f>
        <v>681753</v>
      </c>
      <c r="B516" s="1" t="str">
        <f>July!G16</f>
        <v>07/7/2023</v>
      </c>
      <c r="C516" s="1" t="str">
        <f>July!H16</f>
        <v>9/1/2019</v>
      </c>
      <c r="D516" s="1" t="str">
        <f>July!I16</f>
        <v>Basic</v>
      </c>
      <c r="E516" s="1" t="str">
        <f>July!J16</f>
        <v>Black</v>
      </c>
    </row>
    <row r="517">
      <c r="A517" s="1" t="str">
        <f>July!F17</f>
        <v>465769</v>
      </c>
      <c r="B517" s="1" t="str">
        <f>July!G17</f>
        <v>07/14/2023</v>
      </c>
      <c r="C517" s="1" t="str">
        <f>July!H17</f>
        <v>2/10/1979</v>
      </c>
      <c r="D517" s="1" t="str">
        <f>July!I17</f>
        <v>Platinum</v>
      </c>
      <c r="E517" s="1" t="str">
        <f>July!J17</f>
        <v>White</v>
      </c>
    </row>
    <row r="518">
      <c r="A518" s="1" t="str">
        <f>July!F18</f>
        <v>890720</v>
      </c>
      <c r="B518" s="1" t="str">
        <f>July!G18</f>
        <v>07/7/2023</v>
      </c>
      <c r="C518" s="1" t="str">
        <f>July!H18</f>
        <v>9/20/1967</v>
      </c>
      <c r="D518" s="1" t="str">
        <f>July!I18</f>
        <v>Gold</v>
      </c>
      <c r="E518" s="1" t="str">
        <f>July!J18</f>
        <v>White</v>
      </c>
    </row>
    <row r="519">
      <c r="A519" s="1" t="str">
        <f>July!F19</f>
        <v>514489</v>
      </c>
      <c r="B519" s="1" t="str">
        <f>July!G19</f>
        <v>07/10/2023</v>
      </c>
      <c r="C519" s="1" t="str">
        <f>July!H19</f>
        <v>5/3/2005</v>
      </c>
      <c r="D519" s="1" t="str">
        <f>July!I19</f>
        <v>Basic</v>
      </c>
      <c r="E519" s="1" t="str">
        <f>July!J19</f>
        <v>Black</v>
      </c>
    </row>
    <row r="520">
      <c r="A520" s="1" t="str">
        <f>July!F20</f>
        <v>964885</v>
      </c>
      <c r="B520" s="1" t="str">
        <f>July!G20</f>
        <v>07/31/2023</v>
      </c>
      <c r="C520" s="1" t="str">
        <f>July!H20</f>
        <v>1/5/1990</v>
      </c>
      <c r="D520" s="1" t="str">
        <f>July!I20</f>
        <v>Basic</v>
      </c>
      <c r="E520" s="1" t="str">
        <f>July!J20</f>
        <v>Asian</v>
      </c>
    </row>
    <row r="521">
      <c r="A521" s="1" t="str">
        <f>July!F21</f>
        <v>256154</v>
      </c>
      <c r="B521" s="1" t="str">
        <f>July!G21</f>
        <v>07/12/2023</v>
      </c>
      <c r="C521" s="1" t="str">
        <f>July!H21</f>
        <v>3/30/1957</v>
      </c>
      <c r="D521" s="1" t="str">
        <f>July!I21</f>
        <v>Gold</v>
      </c>
      <c r="E521" s="1" t="str">
        <f>July!J21</f>
        <v>Asian</v>
      </c>
    </row>
    <row r="522">
      <c r="A522" s="1" t="str">
        <f>July!F22</f>
        <v>115578</v>
      </c>
      <c r="B522" s="1" t="str">
        <f>July!G22</f>
        <v>07/29/2023</v>
      </c>
      <c r="C522" s="1" t="str">
        <f>July!H22</f>
        <v>9/2/1961</v>
      </c>
      <c r="D522" s="1" t="str">
        <f>July!I22</f>
        <v>Gold</v>
      </c>
      <c r="E522" s="1" t="str">
        <f>July!J22</f>
        <v>Black</v>
      </c>
    </row>
    <row r="523">
      <c r="A523" s="1" t="str">
        <f>July!F23</f>
        <v>111490</v>
      </c>
      <c r="B523" s="1" t="str">
        <f>July!G23</f>
        <v>07/2/2023</v>
      </c>
      <c r="C523" s="1" t="str">
        <f>July!H23</f>
        <v>3/1/1946</v>
      </c>
      <c r="D523" s="1" t="str">
        <f>July!I23</f>
        <v>Basic</v>
      </c>
      <c r="E523" s="1" t="str">
        <f>July!J23</f>
        <v>Black</v>
      </c>
    </row>
    <row r="524">
      <c r="A524" s="1" t="str">
        <f>July!F24</f>
        <v>344841</v>
      </c>
      <c r="B524" s="1" t="str">
        <f>July!G24</f>
        <v>07/30/2023</v>
      </c>
      <c r="C524" s="1" t="str">
        <f>July!H24</f>
        <v>12/9/2002</v>
      </c>
      <c r="D524" s="1" t="str">
        <f>July!I24</f>
        <v>Basic</v>
      </c>
      <c r="E524" s="1" t="str">
        <f>July!J24</f>
        <v>White</v>
      </c>
    </row>
    <row r="525">
      <c r="A525" s="1" t="str">
        <f>July!F25</f>
        <v>210727</v>
      </c>
      <c r="B525" s="1" t="str">
        <f>July!G25</f>
        <v>07/25/2023</v>
      </c>
      <c r="C525" s="1" t="str">
        <f>July!H25</f>
        <v>4/6/1968</v>
      </c>
      <c r="D525" s="1" t="str">
        <f>July!I25</f>
        <v>Platinum</v>
      </c>
      <c r="E525" s="1" t="str">
        <f>July!J25</f>
        <v>White</v>
      </c>
    </row>
    <row r="526">
      <c r="A526" s="1" t="str">
        <f>July!F26</f>
        <v>466664</v>
      </c>
      <c r="B526" s="1" t="str">
        <f>July!G26</f>
        <v>07/16/2023</v>
      </c>
      <c r="C526" s="1" t="str">
        <f>July!H26</f>
        <v>5/14/1981</v>
      </c>
      <c r="D526" s="1" t="str">
        <f>July!I26</f>
        <v>Basic</v>
      </c>
      <c r="E526" s="1" t="str">
        <f>July!J26</f>
        <v>Asian</v>
      </c>
    </row>
    <row r="527">
      <c r="A527" s="1" t="str">
        <f>July!F27</f>
        <v>739156</v>
      </c>
      <c r="B527" s="1" t="str">
        <f>July!G27</f>
        <v>07/27/2023</v>
      </c>
      <c r="C527" s="1" t="str">
        <f>July!H27</f>
        <v>10/20/1976</v>
      </c>
      <c r="D527" s="1" t="str">
        <f>July!I27</f>
        <v>Platinum</v>
      </c>
      <c r="E527" s="1" t="str">
        <f>July!J27</f>
        <v>White</v>
      </c>
    </row>
    <row r="528">
      <c r="A528" s="1" t="str">
        <f>July!F28</f>
        <v>192752</v>
      </c>
      <c r="B528" s="1" t="str">
        <f>July!G28</f>
        <v>07/12/2023</v>
      </c>
      <c r="C528" s="1" t="str">
        <f>July!H28</f>
        <v>8/29/1981</v>
      </c>
      <c r="D528" s="1" t="str">
        <f>July!I28</f>
        <v>Basic</v>
      </c>
      <c r="E528" s="1" t="str">
        <f>July!J28</f>
        <v>Asian</v>
      </c>
    </row>
    <row r="529">
      <c r="A529" s="1" t="str">
        <f>July!F29</f>
        <v>656037</v>
      </c>
      <c r="B529" s="1" t="str">
        <f>July!G29</f>
        <v>07/11/2023</v>
      </c>
      <c r="C529" s="1" t="str">
        <f>July!H29</f>
        <v>8/17/1961</v>
      </c>
      <c r="D529" s="1" t="str">
        <f>July!I29</f>
        <v>Platinum</v>
      </c>
      <c r="E529" s="1" t="str">
        <f>July!J29</f>
        <v>White</v>
      </c>
    </row>
    <row r="530">
      <c r="A530" s="1" t="str">
        <f>July!F30</f>
        <v>316468</v>
      </c>
      <c r="B530" s="1" t="str">
        <f>July!G30</f>
        <v>07/23/2023</v>
      </c>
      <c r="C530" s="1" t="str">
        <f>July!H30</f>
        <v>9/22/1963</v>
      </c>
      <c r="D530" s="1" t="str">
        <f>July!I30</f>
        <v>Gold</v>
      </c>
      <c r="E530" s="1" t="str">
        <f>July!J30</f>
        <v>Asian</v>
      </c>
    </row>
    <row r="531">
      <c r="A531" s="1" t="str">
        <f>July!F31</f>
        <v>788351</v>
      </c>
      <c r="B531" s="1" t="str">
        <f>July!G31</f>
        <v>07/14/2023</v>
      </c>
      <c r="C531" s="1" t="str">
        <f>July!H31</f>
        <v>5/7/1985</v>
      </c>
      <c r="D531" s="1" t="str">
        <f>July!I31</f>
        <v>Platinum</v>
      </c>
      <c r="E531" s="1" t="str">
        <f>July!J31</f>
        <v>White</v>
      </c>
    </row>
    <row r="532">
      <c r="A532" s="1" t="str">
        <f>July!F32</f>
        <v>114484</v>
      </c>
      <c r="B532" s="1" t="str">
        <f>July!G32</f>
        <v>07/20/2023</v>
      </c>
      <c r="C532" s="1" t="str">
        <f>July!H32</f>
        <v>1/19/1987</v>
      </c>
      <c r="D532" s="1" t="str">
        <f>July!I32</f>
        <v>Basic</v>
      </c>
      <c r="E532" s="1" t="str">
        <f>July!J32</f>
        <v>Black</v>
      </c>
    </row>
    <row r="533">
      <c r="A533" s="1" t="str">
        <f>July!F33</f>
        <v>211683</v>
      </c>
      <c r="B533" s="1" t="str">
        <f>July!G33</f>
        <v>07/2/2023</v>
      </c>
      <c r="C533" s="1" t="str">
        <f>July!H33</f>
        <v>9/4/2005</v>
      </c>
      <c r="D533" s="1" t="str">
        <f>July!I33</f>
        <v>Basic</v>
      </c>
      <c r="E533" s="1" t="str">
        <f>July!J33</f>
        <v>Other</v>
      </c>
    </row>
    <row r="534">
      <c r="A534" s="1" t="str">
        <f>July!F34</f>
        <v>212881</v>
      </c>
      <c r="B534" s="1" t="str">
        <f>July!G34</f>
        <v>07/16/2023</v>
      </c>
      <c r="C534" s="1" t="str">
        <f>July!H34</f>
        <v>3/19/2002</v>
      </c>
      <c r="D534" s="1" t="str">
        <f>July!I34</f>
        <v>Platinum</v>
      </c>
      <c r="E534" s="1" t="str">
        <f>July!J34</f>
        <v>Black</v>
      </c>
    </row>
    <row r="535">
      <c r="A535" s="1" t="str">
        <f>July!F35</f>
        <v>228463</v>
      </c>
      <c r="B535" s="1" t="str">
        <f>July!G35</f>
        <v>07/19/2023</v>
      </c>
      <c r="C535" s="1" t="str">
        <f>July!H35</f>
        <v>11/20/2011</v>
      </c>
      <c r="D535" s="1" t="str">
        <f>July!I35</f>
        <v>Gold</v>
      </c>
      <c r="E535" s="1" t="str">
        <f>July!J35</f>
        <v>Other</v>
      </c>
    </row>
    <row r="536">
      <c r="A536" s="1" t="str">
        <f>July!F36</f>
        <v>124765</v>
      </c>
      <c r="B536" s="1" t="str">
        <f>July!G36</f>
        <v>07/17/2023</v>
      </c>
      <c r="C536" s="1" t="str">
        <f>July!H36</f>
        <v>10/15/1965</v>
      </c>
      <c r="D536" s="1" t="str">
        <f>July!I36</f>
        <v>Basic</v>
      </c>
      <c r="E536" s="1" t="str">
        <f>July!J36</f>
        <v>Black</v>
      </c>
    </row>
    <row r="537">
      <c r="A537" s="1" t="str">
        <f>July!F37</f>
        <v>879426</v>
      </c>
      <c r="B537" s="1" t="str">
        <f>July!G37</f>
        <v>07/31/2023</v>
      </c>
      <c r="C537" s="1" t="str">
        <f>July!H37</f>
        <v>9/28/1996</v>
      </c>
      <c r="D537" s="1" t="str">
        <f>July!I37</f>
        <v>Gold</v>
      </c>
      <c r="E537" s="1" t="str">
        <f>July!J37</f>
        <v>Other</v>
      </c>
    </row>
    <row r="538">
      <c r="A538" s="1" t="str">
        <f>July!F38</f>
        <v>703312</v>
      </c>
      <c r="B538" s="1" t="str">
        <f>July!G38</f>
        <v>07/25/2023</v>
      </c>
      <c r="C538" s="1" t="str">
        <f>July!H38</f>
        <v>12/18/2012</v>
      </c>
      <c r="D538" s="1" t="str">
        <f>July!I38</f>
        <v>Gold</v>
      </c>
      <c r="E538" s="1" t="str">
        <f>July!J38</f>
        <v>Other</v>
      </c>
    </row>
    <row r="539">
      <c r="A539" s="1" t="str">
        <f>July!F39</f>
        <v>822881</v>
      </c>
      <c r="B539" s="1" t="str">
        <f>July!G39</f>
        <v>07/17/2023</v>
      </c>
      <c r="C539" s="1" t="str">
        <f>July!H39</f>
        <v>3/26/2012</v>
      </c>
      <c r="D539" s="1" t="str">
        <f>July!I39</f>
        <v>Gold</v>
      </c>
      <c r="E539" s="1" t="str">
        <f>July!J39</f>
        <v>Other</v>
      </c>
    </row>
    <row r="540">
      <c r="A540" s="1" t="str">
        <f>July!F40</f>
        <v>656301</v>
      </c>
      <c r="B540" s="1" t="str">
        <f>July!G40</f>
        <v>07/7/2023</v>
      </c>
      <c r="C540" s="1" t="str">
        <f>July!H40</f>
        <v>1/31/1994</v>
      </c>
      <c r="D540" s="1" t="str">
        <f>July!I40</f>
        <v>Gold</v>
      </c>
      <c r="E540" s="1" t="str">
        <f>July!J40</f>
        <v>Asian</v>
      </c>
    </row>
    <row r="541">
      <c r="A541" s="1" t="str">
        <f>July!F41</f>
        <v>619806</v>
      </c>
      <c r="B541" s="1" t="str">
        <f>July!G41</f>
        <v>07/17/2023</v>
      </c>
      <c r="C541" s="1" t="str">
        <f>July!H41</f>
        <v>2/11/1974</v>
      </c>
      <c r="D541" s="1" t="str">
        <f>July!I41</f>
        <v>Platinum</v>
      </c>
      <c r="E541" s="1" t="str">
        <f>July!J41</f>
        <v>Asian</v>
      </c>
    </row>
    <row r="542">
      <c r="A542" s="1" t="str">
        <f>July!F42</f>
        <v>489883</v>
      </c>
      <c r="B542" s="1" t="str">
        <f>July!G42</f>
        <v>07/26/2023</v>
      </c>
      <c r="C542" s="1" t="str">
        <f>July!H42</f>
        <v>11/21/1972</v>
      </c>
      <c r="D542" s="1" t="str">
        <f>July!I42</f>
        <v>Basic</v>
      </c>
      <c r="E542" s="1" t="str">
        <f>July!J42</f>
        <v>Asian</v>
      </c>
    </row>
    <row r="543">
      <c r="A543" s="1" t="str">
        <f>July!F43</f>
        <v>158161</v>
      </c>
      <c r="B543" s="1" t="str">
        <f>July!G43</f>
        <v>07/9/2023</v>
      </c>
      <c r="C543" s="1" t="str">
        <f>July!H43</f>
        <v>10/15/2014</v>
      </c>
      <c r="D543" s="1" t="str">
        <f>July!I43</f>
        <v>Basic</v>
      </c>
      <c r="E543" s="1" t="str">
        <f>July!J43</f>
        <v>White</v>
      </c>
    </row>
    <row r="544">
      <c r="A544" s="1" t="str">
        <f>July!F44</f>
        <v>751597</v>
      </c>
      <c r="B544" s="1" t="str">
        <f>July!G44</f>
        <v>07/14/2023</v>
      </c>
      <c r="C544" s="1" t="str">
        <f>July!H44</f>
        <v>12/25/1966</v>
      </c>
      <c r="D544" s="1" t="str">
        <f>July!I44</f>
        <v>Basic</v>
      </c>
      <c r="E544" s="1" t="str">
        <f>July!J44</f>
        <v>White</v>
      </c>
    </row>
    <row r="545">
      <c r="A545" s="1" t="str">
        <f>July!F45</f>
        <v>766091</v>
      </c>
      <c r="B545" s="1" t="str">
        <f>July!G45</f>
        <v>07/3/2023</v>
      </c>
      <c r="C545" s="1" t="str">
        <f>July!H45</f>
        <v>10/24/2013</v>
      </c>
      <c r="D545" s="1" t="str">
        <f>July!I45</f>
        <v>Basic</v>
      </c>
      <c r="E545" s="1" t="str">
        <f>July!J45</f>
        <v>White</v>
      </c>
    </row>
    <row r="546">
      <c r="A546" s="1" t="str">
        <f>July!F46</f>
        <v>306535</v>
      </c>
      <c r="B546" s="1" t="str">
        <f>July!G46</f>
        <v>07/13/2023</v>
      </c>
      <c r="C546" s="1" t="str">
        <f>July!H46</f>
        <v>12/23/1977</v>
      </c>
      <c r="D546" s="1" t="str">
        <f>July!I46</f>
        <v>Basic</v>
      </c>
      <c r="E546" s="1" t="str">
        <f>July!J46</f>
        <v>Asian</v>
      </c>
    </row>
    <row r="547">
      <c r="A547" s="1" t="str">
        <f>July!F47</f>
        <v>306044</v>
      </c>
      <c r="B547" s="1" t="str">
        <f>July!G47</f>
        <v>07/28/2023</v>
      </c>
      <c r="C547" s="1" t="str">
        <f>July!H47</f>
        <v>5/13/1993</v>
      </c>
      <c r="D547" s="1" t="str">
        <f>July!I47</f>
        <v>Platinum</v>
      </c>
      <c r="E547" s="1" t="str">
        <f>July!J47</f>
        <v>Asian</v>
      </c>
    </row>
    <row r="548">
      <c r="A548" s="1" t="str">
        <f>July!F48</f>
        <v>792923</v>
      </c>
      <c r="B548" s="1" t="str">
        <f>July!G48</f>
        <v>07/25/2023</v>
      </c>
      <c r="C548" s="1" t="str">
        <f>July!H48</f>
        <v>10/16/1958</v>
      </c>
      <c r="D548" s="1" t="str">
        <f>July!I48</f>
        <v>Basic</v>
      </c>
      <c r="E548" s="1" t="str">
        <f>July!J48</f>
        <v>White</v>
      </c>
    </row>
    <row r="549">
      <c r="A549" s="1" t="str">
        <f>July!F49</f>
        <v>194837</v>
      </c>
      <c r="B549" s="1" t="str">
        <f>July!G49</f>
        <v>07/12/2023</v>
      </c>
      <c r="C549" s="1" t="str">
        <f>July!H49</f>
        <v>6/28/1962</v>
      </c>
      <c r="D549" s="1" t="str">
        <f>July!I49</f>
        <v>Platinum</v>
      </c>
      <c r="E549" s="1" t="str">
        <f>July!J49</f>
        <v>Other</v>
      </c>
    </row>
    <row r="550">
      <c r="A550" s="1" t="str">
        <f>July!F50</f>
        <v>858519</v>
      </c>
      <c r="B550" s="1" t="str">
        <f>July!G50</f>
        <v>07/1/2023</v>
      </c>
      <c r="C550" s="1" t="str">
        <f>July!H50</f>
        <v>1/27/2000</v>
      </c>
      <c r="D550" s="1" t="str">
        <f>July!I50</f>
        <v>Gold</v>
      </c>
      <c r="E550" s="1" t="str">
        <f>July!J50</f>
        <v>White</v>
      </c>
    </row>
    <row r="551">
      <c r="A551" s="1" t="str">
        <f>July!F51</f>
        <v>854139</v>
      </c>
      <c r="B551" s="1" t="str">
        <f>July!G51</f>
        <v>07/19/2023</v>
      </c>
      <c r="C551" s="1" t="str">
        <f>July!H51</f>
        <v>7/12/1978</v>
      </c>
      <c r="D551" s="1" t="str">
        <f>July!I51</f>
        <v>Platinum</v>
      </c>
      <c r="E551" s="1" t="str">
        <f>July!J51</f>
        <v>Other</v>
      </c>
    </row>
    <row r="552">
      <c r="A552" s="1" t="str">
        <f>July!F52</f>
        <v>591539</v>
      </c>
      <c r="B552" s="1" t="str">
        <f>July!G52</f>
        <v>07/26/2023</v>
      </c>
      <c r="C552" s="1" t="str">
        <f>July!H52</f>
        <v>11/7/1986</v>
      </c>
      <c r="D552" s="1" t="str">
        <f>July!I52</f>
        <v>Basic</v>
      </c>
      <c r="E552" s="1" t="str">
        <f>July!J52</f>
        <v>White</v>
      </c>
    </row>
    <row r="553">
      <c r="A553" s="1" t="str">
        <f>July!F53</f>
        <v>960910</v>
      </c>
      <c r="B553" s="1" t="str">
        <f>July!G53</f>
        <v>07/13/2023</v>
      </c>
      <c r="C553" s="1" t="str">
        <f>July!H53</f>
        <v>12/16/1997</v>
      </c>
      <c r="D553" s="1" t="str">
        <f>July!I53</f>
        <v>Basic</v>
      </c>
      <c r="E553" s="1" t="str">
        <f>July!J53</f>
        <v>Black</v>
      </c>
    </row>
    <row r="554">
      <c r="A554" s="1" t="str">
        <f>July!F54</f>
        <v>543731</v>
      </c>
      <c r="B554" s="1" t="str">
        <f>July!G54</f>
        <v>07/25/2023</v>
      </c>
      <c r="C554" s="1" t="str">
        <f>July!H54</f>
        <v>5/18/1989</v>
      </c>
      <c r="D554" s="1" t="str">
        <f>July!I54</f>
        <v>Gold</v>
      </c>
      <c r="E554" s="1" t="str">
        <f>July!J54</f>
        <v>Asian</v>
      </c>
    </row>
    <row r="555">
      <c r="A555" s="1" t="str">
        <f>July!F55</f>
        <v>754172</v>
      </c>
      <c r="B555" s="1" t="str">
        <f>July!G55</f>
        <v>07/24/2023</v>
      </c>
      <c r="C555" s="1" t="str">
        <f>July!H55</f>
        <v>7/21/2011</v>
      </c>
      <c r="D555" s="1" t="str">
        <f>July!I55</f>
        <v>Basic</v>
      </c>
      <c r="E555" s="1" t="str">
        <f>July!J55</f>
        <v>White</v>
      </c>
    </row>
    <row r="556">
      <c r="A556" s="1" t="str">
        <f>July!F56</f>
        <v>798734</v>
      </c>
      <c r="B556" s="1" t="str">
        <f>July!G56</f>
        <v>07/20/2023</v>
      </c>
      <c r="C556" s="1" t="str">
        <f>July!H56</f>
        <v>11/5/1957</v>
      </c>
      <c r="D556" s="1" t="str">
        <f>July!I56</f>
        <v>Gold</v>
      </c>
      <c r="E556" s="1" t="str">
        <f>July!J56</f>
        <v>Black</v>
      </c>
    </row>
    <row r="557">
      <c r="A557" s="1" t="str">
        <f>July!F57</f>
        <v>516450</v>
      </c>
      <c r="B557" s="1" t="str">
        <f>July!G57</f>
        <v>07/17/2023</v>
      </c>
      <c r="C557" s="1" t="str">
        <f>July!H57</f>
        <v>1/12/1986</v>
      </c>
      <c r="D557" s="1" t="str">
        <f>July!I57</f>
        <v>Gold</v>
      </c>
      <c r="E557" s="1" t="str">
        <f>July!J57</f>
        <v>Black</v>
      </c>
    </row>
    <row r="558">
      <c r="A558" s="1" t="str">
        <f>July!F58</f>
        <v>597729</v>
      </c>
      <c r="B558" s="1" t="str">
        <f>July!G58</f>
        <v>07/8/2023</v>
      </c>
      <c r="C558" s="1" t="str">
        <f>July!H58</f>
        <v>2/7/1958</v>
      </c>
      <c r="D558" s="1" t="str">
        <f>July!I58</f>
        <v>Basic</v>
      </c>
      <c r="E558" s="1" t="str">
        <f>July!J58</f>
        <v>Other</v>
      </c>
    </row>
    <row r="559">
      <c r="A559" s="1" t="str">
        <f>July!F59</f>
        <v>428393</v>
      </c>
      <c r="B559" s="1" t="str">
        <f>July!G59</f>
        <v>07/14/2023</v>
      </c>
      <c r="C559" s="1" t="str">
        <f>July!H59</f>
        <v>5/12/2008</v>
      </c>
      <c r="D559" s="1" t="str">
        <f>July!I59</f>
        <v>Basic</v>
      </c>
      <c r="E559" s="1" t="str">
        <f>July!J59</f>
        <v>Black</v>
      </c>
    </row>
    <row r="560">
      <c r="A560" s="1" t="str">
        <f>July!F60</f>
        <v>572462</v>
      </c>
      <c r="B560" s="1" t="str">
        <f>July!G60</f>
        <v>07/29/2023</v>
      </c>
      <c r="C560" s="1" t="str">
        <f>July!H60</f>
        <v>5/29/1965</v>
      </c>
      <c r="D560" s="1" t="str">
        <f>July!I60</f>
        <v>Platinum</v>
      </c>
      <c r="E560" s="1" t="str">
        <f>July!J60</f>
        <v>Black</v>
      </c>
    </row>
    <row r="561">
      <c r="A561" s="1" t="str">
        <f>July!F61</f>
        <v>914893</v>
      </c>
      <c r="B561" s="1" t="str">
        <f>July!G61</f>
        <v>07/18/2023</v>
      </c>
      <c r="C561" s="1" t="str">
        <f>July!H61</f>
        <v>1/3/1969</v>
      </c>
      <c r="D561" s="1" t="str">
        <f>July!I61</f>
        <v>Basic</v>
      </c>
      <c r="E561" s="1" t="str">
        <f>July!J61</f>
        <v>White</v>
      </c>
    </row>
    <row r="562">
      <c r="A562" s="1" t="str">
        <f>July!F62</f>
        <v>112430</v>
      </c>
      <c r="B562" s="1" t="str">
        <f>July!G62</f>
        <v>07/19/2023</v>
      </c>
      <c r="C562" s="1" t="str">
        <f>July!H62</f>
        <v>12/8/1948</v>
      </c>
      <c r="D562" s="1" t="str">
        <f>July!I62</f>
        <v>Basic</v>
      </c>
      <c r="E562" s="1" t="str">
        <f>July!J62</f>
        <v>White</v>
      </c>
    </row>
    <row r="563">
      <c r="A563" s="1" t="str">
        <f>July!F63</f>
        <v>220423</v>
      </c>
      <c r="B563" s="1" t="str">
        <f>July!G63</f>
        <v>07/4/2023</v>
      </c>
      <c r="C563" s="1" t="str">
        <f>July!H63</f>
        <v>5/23/1940</v>
      </c>
      <c r="D563" s="1" t="str">
        <f>July!I63</f>
        <v>Platinum</v>
      </c>
      <c r="E563" s="1" t="str">
        <f>July!J63</f>
        <v>Other</v>
      </c>
    </row>
    <row r="564">
      <c r="A564" s="1" t="str">
        <f>July!F64</f>
        <v>415942</v>
      </c>
      <c r="B564" s="1" t="str">
        <f>July!G64</f>
        <v>07/22/2023</v>
      </c>
      <c r="C564" s="1" t="str">
        <f>July!H64</f>
        <v>9/16/1947</v>
      </c>
      <c r="D564" s="1" t="str">
        <f>July!I64</f>
        <v>Basic</v>
      </c>
      <c r="E564" s="1" t="str">
        <f>July!J64</f>
        <v>Asian</v>
      </c>
    </row>
    <row r="565">
      <c r="A565" s="1" t="str">
        <f>July!F65</f>
        <v>993957</v>
      </c>
      <c r="B565" s="1" t="str">
        <f>July!G65</f>
        <v>07/17/2023</v>
      </c>
      <c r="C565" s="1" t="str">
        <f>July!H65</f>
        <v>3/7/1944</v>
      </c>
      <c r="D565" s="1" t="str">
        <f>July!I65</f>
        <v>Platinum</v>
      </c>
      <c r="E565" s="1" t="str">
        <f>July!J65</f>
        <v>Asian</v>
      </c>
    </row>
    <row r="566">
      <c r="A566" s="1" t="str">
        <f>July!F66</f>
        <v>759212</v>
      </c>
      <c r="B566" s="1" t="str">
        <f>July!G66</f>
        <v>07/29/2023</v>
      </c>
      <c r="C566" s="1" t="str">
        <f>July!H66</f>
        <v>10/6/2017</v>
      </c>
      <c r="D566" s="1" t="str">
        <f>July!I66</f>
        <v>Platinum</v>
      </c>
      <c r="E566" s="1" t="str">
        <f>July!J66</f>
        <v>White</v>
      </c>
    </row>
    <row r="567">
      <c r="A567" s="1" t="str">
        <f>July!F67</f>
        <v>783242</v>
      </c>
      <c r="B567" s="1" t="str">
        <f>July!G67</f>
        <v>07/18/2023</v>
      </c>
      <c r="C567" s="1" t="str">
        <f>July!H67</f>
        <v>2/12/1952</v>
      </c>
      <c r="D567" s="1" t="str">
        <f>July!I67</f>
        <v>Basic</v>
      </c>
      <c r="E567" s="1" t="str">
        <f>July!J67</f>
        <v>Other</v>
      </c>
    </row>
    <row r="568">
      <c r="A568" s="1" t="str">
        <f>July!F68</f>
        <v>751067</v>
      </c>
      <c r="B568" s="1" t="str">
        <f>July!G68</f>
        <v>07/20/2023</v>
      </c>
      <c r="C568" s="1" t="str">
        <f>July!H68</f>
        <v>9/6/2000</v>
      </c>
      <c r="D568" s="1" t="str">
        <f>July!I68</f>
        <v>Platinum</v>
      </c>
      <c r="E568" s="1" t="str">
        <f>July!J68</f>
        <v>Black</v>
      </c>
    </row>
    <row r="569">
      <c r="A569" s="1" t="str">
        <f>July!F69</f>
        <v>242782</v>
      </c>
      <c r="B569" s="1" t="str">
        <f>July!G69</f>
        <v>07/3/2023</v>
      </c>
      <c r="C569" s="1" t="str">
        <f>July!H69</f>
        <v>11/4/1942</v>
      </c>
      <c r="D569" s="1" t="str">
        <f>July!I69</f>
        <v>Platinum</v>
      </c>
      <c r="E569" s="1" t="str">
        <f>July!J69</f>
        <v>Other</v>
      </c>
    </row>
    <row r="570">
      <c r="A570" s="1" t="str">
        <f>July!F70</f>
        <v>563716</v>
      </c>
      <c r="B570" s="1" t="str">
        <f>July!G70</f>
        <v>07/11/2023</v>
      </c>
      <c r="C570" s="1" t="str">
        <f>July!H70</f>
        <v>2/3/1989</v>
      </c>
      <c r="D570" s="1" t="str">
        <f>July!I70</f>
        <v>Platinum</v>
      </c>
      <c r="E570" s="1" t="str">
        <f>July!J70</f>
        <v>Asian</v>
      </c>
    </row>
    <row r="571">
      <c r="A571" s="1" t="str">
        <f>July!F71</f>
        <v>217393</v>
      </c>
      <c r="B571" s="1" t="str">
        <f>July!G71</f>
        <v>07/24/2023</v>
      </c>
      <c r="C571" s="1" t="str">
        <f>July!H71</f>
        <v>10/29/1947</v>
      </c>
      <c r="D571" s="1" t="str">
        <f>July!I71</f>
        <v>Platinum</v>
      </c>
      <c r="E571" s="1" t="str">
        <f>July!J71</f>
        <v>Asian</v>
      </c>
    </row>
    <row r="572">
      <c r="A572" s="1" t="str">
        <f>July!F72</f>
        <v>760048</v>
      </c>
      <c r="B572" s="1" t="str">
        <f>July!G72</f>
        <v>07/17/2023</v>
      </c>
      <c r="C572" s="1" t="str">
        <f>July!H72</f>
        <v>4/17/2011</v>
      </c>
      <c r="D572" s="1" t="str">
        <f>July!I72</f>
        <v>Basic</v>
      </c>
      <c r="E572" s="1" t="str">
        <f>July!J72</f>
        <v>Black</v>
      </c>
    </row>
    <row r="573">
      <c r="A573" s="1" t="str">
        <f>July!F73</f>
        <v>142608</v>
      </c>
      <c r="B573" s="1" t="str">
        <f>July!G73</f>
        <v>07/21/2023</v>
      </c>
      <c r="C573" s="1" t="str">
        <f>July!H73</f>
        <v>8/16/1994</v>
      </c>
      <c r="D573" s="1" t="str">
        <f>July!I73</f>
        <v>Gold</v>
      </c>
      <c r="E573" s="1" t="str">
        <f>July!J73</f>
        <v>Black</v>
      </c>
    </row>
    <row r="574">
      <c r="A574" s="1" t="str">
        <f>August!F2</f>
        <v>107924</v>
      </c>
      <c r="B574" s="1" t="str">
        <f>August!G2</f>
        <v>08/2/2023</v>
      </c>
      <c r="C574" s="1" t="str">
        <f>August!H2</f>
        <v>9/2/1975</v>
      </c>
      <c r="D574" s="1" t="str">
        <f>August!I2</f>
        <v>Gold</v>
      </c>
      <c r="E574" s="1" t="str">
        <f>August!J2</f>
        <v>Black</v>
      </c>
    </row>
    <row r="575">
      <c r="A575" s="1" t="str">
        <f>August!F3</f>
        <v>534142</v>
      </c>
      <c r="B575" s="1" t="str">
        <f>August!G3</f>
        <v>08/26/2023</v>
      </c>
      <c r="C575" s="1" t="str">
        <f>August!H3</f>
        <v>11/9/1954</v>
      </c>
      <c r="D575" s="1" t="str">
        <f>August!I3</f>
        <v>Gold</v>
      </c>
      <c r="E575" s="1" t="str">
        <f>August!J3</f>
        <v>Black</v>
      </c>
    </row>
    <row r="576">
      <c r="A576" s="1" t="str">
        <f>August!F4</f>
        <v>465564</v>
      </c>
      <c r="B576" s="1" t="str">
        <f>August!G4</f>
        <v>08/26/2023</v>
      </c>
      <c r="C576" s="1" t="str">
        <f>August!H4</f>
        <v>8/12/2015</v>
      </c>
      <c r="D576" s="1" t="str">
        <f>August!I4</f>
        <v>Platinum</v>
      </c>
      <c r="E576" s="1" t="str">
        <f>August!J4</f>
        <v>Asian</v>
      </c>
    </row>
    <row r="577">
      <c r="A577" s="1" t="str">
        <f>August!F5</f>
        <v>488809</v>
      </c>
      <c r="B577" s="1" t="str">
        <f>August!G5</f>
        <v>08/23/2023</v>
      </c>
      <c r="C577" s="1" t="str">
        <f>August!H5</f>
        <v>7/24/2004</v>
      </c>
      <c r="D577" s="1" t="str">
        <f>August!I5</f>
        <v>Platinum</v>
      </c>
      <c r="E577" s="1" t="str">
        <f>August!J5</f>
        <v>Black</v>
      </c>
    </row>
    <row r="578">
      <c r="A578" s="1" t="str">
        <f>August!F6</f>
        <v>201146</v>
      </c>
      <c r="B578" s="1" t="str">
        <f>August!G6</f>
        <v>08/17/2023</v>
      </c>
      <c r="C578" s="1" t="str">
        <f>August!H6</f>
        <v>7/1/1976</v>
      </c>
      <c r="D578" s="1" t="str">
        <f>August!I6</f>
        <v>Basic</v>
      </c>
      <c r="E578" s="1" t="str">
        <f>August!J6</f>
        <v>Black</v>
      </c>
    </row>
    <row r="579">
      <c r="A579" s="1" t="str">
        <f>August!F7</f>
        <v>378506</v>
      </c>
      <c r="B579" s="1" t="str">
        <f>August!G7</f>
        <v>08/26/2023</v>
      </c>
      <c r="C579" s="1" t="str">
        <f>August!H7</f>
        <v>7/8/1968</v>
      </c>
      <c r="D579" s="1" t="str">
        <f>August!I7</f>
        <v>Basic</v>
      </c>
      <c r="E579" s="1" t="str">
        <f>August!J7</f>
        <v>Other</v>
      </c>
    </row>
    <row r="580">
      <c r="A580" s="1" t="str">
        <f>August!F8</f>
        <v>268478</v>
      </c>
      <c r="B580" s="1" t="str">
        <f>August!G8</f>
        <v>08/31/2023</v>
      </c>
      <c r="C580" s="1" t="str">
        <f>August!H8</f>
        <v>6/14/1952</v>
      </c>
      <c r="D580" s="1" t="str">
        <f>August!I8</f>
        <v>Gold</v>
      </c>
      <c r="E580" s="1" t="str">
        <f>August!J8</f>
        <v>Black</v>
      </c>
    </row>
    <row r="581">
      <c r="A581" s="1" t="str">
        <f>August!F9</f>
        <v>850145</v>
      </c>
      <c r="B581" s="1" t="str">
        <f>August!G9</f>
        <v>08/23/2023</v>
      </c>
      <c r="C581" s="1" t="str">
        <f>August!H9</f>
        <v>4/4/2019</v>
      </c>
      <c r="D581" s="1" t="str">
        <f>August!I9</f>
        <v>Gold</v>
      </c>
      <c r="E581" s="1" t="str">
        <f>August!J9</f>
        <v>Other</v>
      </c>
    </row>
    <row r="582">
      <c r="A582" s="1" t="str">
        <f>August!F10</f>
        <v>604078</v>
      </c>
      <c r="B582" s="1" t="str">
        <f>August!G10</f>
        <v>08/2/2023</v>
      </c>
      <c r="C582" s="1" t="str">
        <f>August!H10</f>
        <v>9/18/1997</v>
      </c>
      <c r="D582" s="1" t="str">
        <f>August!I10</f>
        <v>Basic</v>
      </c>
      <c r="E582" s="1" t="str">
        <f>August!J10</f>
        <v>Asian</v>
      </c>
    </row>
    <row r="583">
      <c r="A583" s="1" t="str">
        <f>August!F11</f>
        <v>620952</v>
      </c>
      <c r="B583" s="1" t="str">
        <f>August!G11</f>
        <v>08/30/2023</v>
      </c>
      <c r="C583" s="1" t="str">
        <f>August!H11</f>
        <v>9/5/1979</v>
      </c>
      <c r="D583" s="1" t="str">
        <f>August!I11</f>
        <v>Platinum</v>
      </c>
      <c r="E583" s="1" t="str">
        <f>August!J11</f>
        <v>White</v>
      </c>
    </row>
    <row r="584">
      <c r="A584" s="1" t="str">
        <f>August!F12</f>
        <v>497542</v>
      </c>
      <c r="B584" s="1" t="str">
        <f>August!G12</f>
        <v>08/22/2023</v>
      </c>
      <c r="C584" s="1" t="str">
        <f>August!H12</f>
        <v>5/19/2005</v>
      </c>
      <c r="D584" s="1" t="str">
        <f>August!I12</f>
        <v>Gold</v>
      </c>
      <c r="E584" s="1" t="str">
        <f>August!J12</f>
        <v>White</v>
      </c>
    </row>
    <row r="585">
      <c r="A585" s="1" t="str">
        <f>August!F13</f>
        <v>151356</v>
      </c>
      <c r="B585" s="1" t="str">
        <f>August!G13</f>
        <v>08/28/2023</v>
      </c>
      <c r="C585" s="1" t="str">
        <f>August!H13</f>
        <v>2/11/2013</v>
      </c>
      <c r="D585" s="1" t="str">
        <f>August!I13</f>
        <v>Basic</v>
      </c>
      <c r="E585" s="1" t="str">
        <f>August!J13</f>
        <v>Asian</v>
      </c>
    </row>
    <row r="586">
      <c r="A586" s="1" t="str">
        <f>August!F14</f>
        <v>121769</v>
      </c>
      <c r="B586" s="1" t="str">
        <f>August!G14</f>
        <v>08/13/2023</v>
      </c>
      <c r="C586" s="1" t="str">
        <f>August!H14</f>
        <v>12/31/1948</v>
      </c>
      <c r="D586" s="1" t="str">
        <f>August!I14</f>
        <v>Gold</v>
      </c>
      <c r="E586" s="1" t="str">
        <f>August!J14</f>
        <v>Asian</v>
      </c>
    </row>
    <row r="587">
      <c r="A587" s="1" t="str">
        <f>August!F15</f>
        <v>647719</v>
      </c>
      <c r="B587" s="1" t="str">
        <f>August!G15</f>
        <v>08/1/2023</v>
      </c>
      <c r="C587" s="1" t="str">
        <f>August!H15</f>
        <v>7/20/2000</v>
      </c>
      <c r="D587" s="1" t="str">
        <f>August!I15</f>
        <v>Gold</v>
      </c>
      <c r="E587" s="1" t="str">
        <f>August!J15</f>
        <v>Black</v>
      </c>
    </row>
    <row r="588">
      <c r="A588" s="1" t="str">
        <f>August!F16</f>
        <v>124463</v>
      </c>
      <c r="B588" s="1" t="str">
        <f>August!G16</f>
        <v>08/18/2023</v>
      </c>
      <c r="C588" s="1" t="str">
        <f>August!H16</f>
        <v>5/12/1943</v>
      </c>
      <c r="D588" s="1" t="str">
        <f>August!I16</f>
        <v>Basic</v>
      </c>
      <c r="E588" s="1" t="str">
        <f>August!J16</f>
        <v>Other</v>
      </c>
    </row>
    <row r="589">
      <c r="A589" s="1" t="str">
        <f>August!F17</f>
        <v>642548</v>
      </c>
      <c r="B589" s="1" t="str">
        <f>August!G17</f>
        <v>08/8/2023</v>
      </c>
      <c r="C589" s="1" t="str">
        <f>August!H17</f>
        <v>6/1/2017</v>
      </c>
      <c r="D589" s="1" t="str">
        <f>August!I17</f>
        <v>Gold</v>
      </c>
      <c r="E589" s="1" t="str">
        <f>August!J17</f>
        <v>Black</v>
      </c>
    </row>
    <row r="590">
      <c r="A590" s="1" t="str">
        <f>August!F18</f>
        <v>115026</v>
      </c>
      <c r="B590" s="1" t="str">
        <f>August!G18</f>
        <v>08/1/2023</v>
      </c>
      <c r="C590" s="1" t="str">
        <f>August!H18</f>
        <v>2/26/1993</v>
      </c>
      <c r="D590" s="1" t="str">
        <f>August!I18</f>
        <v>Basic</v>
      </c>
      <c r="E590" s="1" t="str">
        <f>August!J18</f>
        <v>Asian</v>
      </c>
    </row>
    <row r="591">
      <c r="A591" s="1" t="str">
        <f>August!F19</f>
        <v>340036</v>
      </c>
      <c r="B591" s="1" t="str">
        <f>August!G19</f>
        <v>08/25/2023</v>
      </c>
      <c r="C591" s="1" t="str">
        <f>August!H19</f>
        <v>10/16/1952</v>
      </c>
      <c r="D591" s="1" t="str">
        <f>August!I19</f>
        <v>Gold</v>
      </c>
      <c r="E591" s="1" t="str">
        <f>August!J19</f>
        <v>Other</v>
      </c>
    </row>
    <row r="592">
      <c r="A592" s="1" t="str">
        <f>August!F20</f>
        <v>881809</v>
      </c>
      <c r="B592" s="1" t="str">
        <f>August!G20</f>
        <v>08/10/2023</v>
      </c>
      <c r="C592" s="1" t="str">
        <f>August!H20</f>
        <v>10/29/1961</v>
      </c>
      <c r="D592" s="1" t="str">
        <f>August!I20</f>
        <v>Basic</v>
      </c>
      <c r="E592" s="1" t="str">
        <f>August!J20</f>
        <v>White</v>
      </c>
    </row>
    <row r="593">
      <c r="A593" s="1" t="str">
        <f>August!F21</f>
        <v>127539</v>
      </c>
      <c r="B593" s="1" t="str">
        <f>August!G21</f>
        <v>08/27/2023</v>
      </c>
      <c r="C593" s="1" t="str">
        <f>August!H21</f>
        <v>10/2/2001</v>
      </c>
      <c r="D593" s="1" t="str">
        <f>August!I21</f>
        <v>Platinum</v>
      </c>
      <c r="E593" s="1" t="str">
        <f>August!J21</f>
        <v>Other</v>
      </c>
    </row>
    <row r="594">
      <c r="A594" s="1" t="str">
        <f>August!F22</f>
        <v>732882</v>
      </c>
      <c r="B594" s="1" t="str">
        <f>August!G22</f>
        <v>08/18/2023</v>
      </c>
      <c r="C594" s="1" t="str">
        <f>August!H22</f>
        <v>6/15/1950</v>
      </c>
      <c r="D594" s="1" t="str">
        <f>August!I22</f>
        <v>Platinum</v>
      </c>
      <c r="E594" s="1" t="str">
        <f>August!J22</f>
        <v>White</v>
      </c>
    </row>
    <row r="595">
      <c r="A595" s="1" t="str">
        <f>August!F23</f>
        <v>716137</v>
      </c>
      <c r="B595" s="1" t="str">
        <f>August!G23</f>
        <v>08/15/2023</v>
      </c>
      <c r="C595" s="1" t="str">
        <f>August!H23</f>
        <v>1/6/1987</v>
      </c>
      <c r="D595" s="1" t="str">
        <f>August!I23</f>
        <v>Basic</v>
      </c>
      <c r="E595" s="1" t="str">
        <f>August!J23</f>
        <v>Other</v>
      </c>
    </row>
    <row r="596">
      <c r="A596" s="1" t="str">
        <f>August!F24</f>
        <v>911428</v>
      </c>
      <c r="B596" s="1" t="str">
        <f>August!G24</f>
        <v>08/27/2023</v>
      </c>
      <c r="C596" s="1" t="str">
        <f>August!H24</f>
        <v>5/4/2005</v>
      </c>
      <c r="D596" s="1" t="str">
        <f>August!I24</f>
        <v>Gold</v>
      </c>
      <c r="E596" s="1" t="str">
        <f>August!J24</f>
        <v>Black</v>
      </c>
    </row>
    <row r="597">
      <c r="A597" s="1" t="str">
        <f>August!F25</f>
        <v>350315</v>
      </c>
      <c r="B597" s="1" t="str">
        <f>August!G25</f>
        <v>08/31/2023</v>
      </c>
      <c r="C597" s="1" t="str">
        <f>August!H25</f>
        <v>4/11/2014</v>
      </c>
      <c r="D597" s="1" t="str">
        <f>August!I25</f>
        <v>Gold</v>
      </c>
      <c r="E597" s="1" t="str">
        <f>August!J25</f>
        <v>Black</v>
      </c>
    </row>
    <row r="598">
      <c r="A598" s="1" t="str">
        <f>August!F26</f>
        <v>527503</v>
      </c>
      <c r="B598" s="1" t="str">
        <f>August!G26</f>
        <v>08/15/2023</v>
      </c>
      <c r="C598" s="1" t="str">
        <f>August!H26</f>
        <v>1/8/1967</v>
      </c>
      <c r="D598" s="1" t="str">
        <f>August!I26</f>
        <v>Gold</v>
      </c>
      <c r="E598" s="1" t="str">
        <f>August!J26</f>
        <v>White</v>
      </c>
    </row>
    <row r="599">
      <c r="A599" s="1" t="str">
        <f>August!F27</f>
        <v>793732</v>
      </c>
      <c r="B599" s="1" t="str">
        <f>August!G27</f>
        <v>08/28/2023</v>
      </c>
      <c r="C599" s="1" t="str">
        <f>August!H27</f>
        <v>5/19/1986</v>
      </c>
      <c r="D599" s="1" t="str">
        <f>August!I27</f>
        <v>Platinum</v>
      </c>
      <c r="E599" s="1" t="str">
        <f>August!J27</f>
        <v>Asian</v>
      </c>
    </row>
    <row r="600">
      <c r="A600" s="1" t="str">
        <f>August!F28</f>
        <v>499227</v>
      </c>
      <c r="B600" s="1" t="str">
        <f>August!G28</f>
        <v>08/3/2023</v>
      </c>
      <c r="C600" s="1" t="str">
        <f>August!H28</f>
        <v>9/12/1978</v>
      </c>
      <c r="D600" s="1" t="str">
        <f>August!I28</f>
        <v>Gold</v>
      </c>
      <c r="E600" s="1" t="str">
        <f>August!J28</f>
        <v>Other</v>
      </c>
    </row>
    <row r="601">
      <c r="A601" s="1" t="str">
        <f>August!F29</f>
        <v>697757</v>
      </c>
      <c r="B601" s="1" t="str">
        <f>August!G29</f>
        <v>08/30/2023</v>
      </c>
      <c r="C601" s="1" t="str">
        <f>August!H29</f>
        <v>2/3/1989</v>
      </c>
      <c r="D601" s="1" t="str">
        <f>August!I29</f>
        <v>Gold</v>
      </c>
      <c r="E601" s="1" t="str">
        <f>August!J29</f>
        <v>Other</v>
      </c>
    </row>
    <row r="602">
      <c r="A602" s="1" t="str">
        <f>August!F30</f>
        <v>414182</v>
      </c>
      <c r="B602" s="1" t="str">
        <f>August!G30</f>
        <v>08/30/2023</v>
      </c>
      <c r="C602" s="1" t="str">
        <f>August!H30</f>
        <v>1/24/1973</v>
      </c>
      <c r="D602" s="1" t="str">
        <f>August!I30</f>
        <v>Gold</v>
      </c>
      <c r="E602" s="1" t="str">
        <f>August!J30</f>
        <v>White</v>
      </c>
    </row>
    <row r="603">
      <c r="A603" s="1" t="str">
        <f>August!F31</f>
        <v>894124</v>
      </c>
      <c r="B603" s="1" t="str">
        <f>August!G31</f>
        <v>08/18/2023</v>
      </c>
      <c r="C603" s="1" t="str">
        <f>August!H31</f>
        <v>10/20/1981</v>
      </c>
      <c r="D603" s="1" t="str">
        <f>August!I31</f>
        <v>Gold</v>
      </c>
      <c r="E603" s="1" t="str">
        <f>August!J31</f>
        <v>Asian</v>
      </c>
    </row>
    <row r="604">
      <c r="A604" s="1" t="str">
        <f>August!F32</f>
        <v>425443</v>
      </c>
      <c r="B604" s="1" t="str">
        <f>August!G32</f>
        <v>08/4/2023</v>
      </c>
      <c r="C604" s="1" t="str">
        <f>August!H32</f>
        <v>7/17/1977</v>
      </c>
      <c r="D604" s="1" t="str">
        <f>August!I32</f>
        <v>Platinum</v>
      </c>
      <c r="E604" s="1" t="str">
        <f>August!J32</f>
        <v>Black</v>
      </c>
    </row>
    <row r="605">
      <c r="A605" s="1" t="str">
        <f>August!F33</f>
        <v>557275</v>
      </c>
      <c r="B605" s="1" t="str">
        <f>August!G33</f>
        <v>08/9/2023</v>
      </c>
      <c r="C605" s="1" t="str">
        <f>August!H33</f>
        <v>9/9/1999</v>
      </c>
      <c r="D605" s="1" t="str">
        <f>August!I33</f>
        <v>Platinum</v>
      </c>
      <c r="E605" s="1" t="str">
        <f>August!J33</f>
        <v>Other</v>
      </c>
    </row>
    <row r="606">
      <c r="A606" s="1" t="str">
        <f>August!F34</f>
        <v>940236</v>
      </c>
      <c r="B606" s="1" t="str">
        <f>August!G34</f>
        <v>08/20/2023</v>
      </c>
      <c r="C606" s="1" t="str">
        <f>August!H34</f>
        <v>12/28/1957</v>
      </c>
      <c r="D606" s="1" t="str">
        <f>August!I34</f>
        <v>Platinum</v>
      </c>
      <c r="E606" s="1" t="str">
        <f>August!J34</f>
        <v>White</v>
      </c>
    </row>
    <row r="607">
      <c r="A607" s="1" t="str">
        <f>August!F35</f>
        <v>825747</v>
      </c>
      <c r="B607" s="1" t="str">
        <f>August!G35</f>
        <v>08/4/2023</v>
      </c>
      <c r="C607" s="1" t="str">
        <f>August!H35</f>
        <v>10/7/1958</v>
      </c>
      <c r="D607" s="1" t="str">
        <f>August!I35</f>
        <v>Basic</v>
      </c>
      <c r="E607" s="1" t="str">
        <f>August!J35</f>
        <v>Black</v>
      </c>
    </row>
    <row r="608">
      <c r="A608" s="1" t="str">
        <f>August!F36</f>
        <v>374944</v>
      </c>
      <c r="B608" s="1" t="str">
        <f>August!G36</f>
        <v>08/25/2023</v>
      </c>
      <c r="C608" s="1" t="str">
        <f>August!H36</f>
        <v>3/20/1965</v>
      </c>
      <c r="D608" s="1" t="str">
        <f>August!I36</f>
        <v>Basic</v>
      </c>
      <c r="E608" s="1" t="str">
        <f>August!J36</f>
        <v>Black</v>
      </c>
    </row>
    <row r="609">
      <c r="A609" s="1" t="str">
        <f>August!F37</f>
        <v>813986</v>
      </c>
      <c r="B609" s="1" t="str">
        <f>August!G37</f>
        <v>08/20/2023</v>
      </c>
      <c r="C609" s="1" t="str">
        <f>August!H37</f>
        <v>5/2/1979</v>
      </c>
      <c r="D609" s="1" t="str">
        <f>August!I37</f>
        <v>Gold</v>
      </c>
      <c r="E609" s="1" t="str">
        <f>August!J37</f>
        <v>Other</v>
      </c>
    </row>
    <row r="610">
      <c r="A610" s="1" t="str">
        <f>August!F38</f>
        <v>618456</v>
      </c>
      <c r="B610" s="1" t="str">
        <f>August!G38</f>
        <v>08/6/2023</v>
      </c>
      <c r="C610" s="1" t="str">
        <f>August!H38</f>
        <v>3/13/2009</v>
      </c>
      <c r="D610" s="1" t="str">
        <f>August!I38</f>
        <v>Basic</v>
      </c>
      <c r="E610" s="1" t="str">
        <f>August!J38</f>
        <v>Asian</v>
      </c>
    </row>
    <row r="611">
      <c r="A611" s="1" t="str">
        <f>August!F39</f>
        <v>269274</v>
      </c>
      <c r="B611" s="1" t="str">
        <f>August!G39</f>
        <v>08/28/2023</v>
      </c>
      <c r="C611" s="1" t="str">
        <f>August!H39</f>
        <v>1/8/2000</v>
      </c>
      <c r="D611" s="1" t="str">
        <f>August!I39</f>
        <v>Platinum</v>
      </c>
      <c r="E611" s="1" t="str">
        <f>August!J39</f>
        <v>White</v>
      </c>
    </row>
    <row r="612">
      <c r="A612" s="1" t="str">
        <f>August!F40</f>
        <v>435115</v>
      </c>
      <c r="B612" s="1" t="str">
        <f>August!G40</f>
        <v>08/26/2023</v>
      </c>
      <c r="C612" s="1" t="str">
        <f>August!H40</f>
        <v>2/7/2012</v>
      </c>
      <c r="D612" s="1" t="str">
        <f>August!I40</f>
        <v>Basic</v>
      </c>
      <c r="E612" s="1" t="str">
        <f>August!J40</f>
        <v>Other</v>
      </c>
    </row>
    <row r="613">
      <c r="A613" s="1" t="str">
        <f>August!F41</f>
        <v>398707</v>
      </c>
      <c r="B613" s="1" t="str">
        <f>August!G41</f>
        <v>08/22/2023</v>
      </c>
      <c r="C613" s="1" t="str">
        <f>August!H41</f>
        <v>5/3/2012</v>
      </c>
      <c r="D613" s="1" t="str">
        <f>August!I41</f>
        <v>Gold</v>
      </c>
      <c r="E613" s="1" t="str">
        <f>August!J41</f>
        <v>Black</v>
      </c>
    </row>
    <row r="614">
      <c r="A614" s="1" t="str">
        <f>August!F42</f>
        <v>630270</v>
      </c>
      <c r="B614" s="1" t="str">
        <f>August!G42</f>
        <v>08/23/2023</v>
      </c>
      <c r="C614" s="1" t="str">
        <f>August!H42</f>
        <v>1/26/1964</v>
      </c>
      <c r="D614" s="1" t="str">
        <f>August!I42</f>
        <v>Platinum</v>
      </c>
      <c r="E614" s="1" t="str">
        <f>August!J42</f>
        <v>Other</v>
      </c>
    </row>
    <row r="615">
      <c r="A615" s="1" t="str">
        <f>August!F43</f>
        <v>253699</v>
      </c>
      <c r="B615" s="1" t="str">
        <f>August!G43</f>
        <v>08/23/2023</v>
      </c>
      <c r="C615" s="1" t="str">
        <f>August!H43</f>
        <v>12/31/1954</v>
      </c>
      <c r="D615" s="1" t="str">
        <f>August!I43</f>
        <v>Gold</v>
      </c>
      <c r="E615" s="1" t="str">
        <f>August!J43</f>
        <v>Other</v>
      </c>
    </row>
    <row r="616">
      <c r="A616" s="1" t="str">
        <f>August!F44</f>
        <v>951213</v>
      </c>
      <c r="B616" s="1" t="str">
        <f>August!G44</f>
        <v>08/31/2023</v>
      </c>
      <c r="C616" s="1" t="str">
        <f>August!H44</f>
        <v>8/29/1982</v>
      </c>
      <c r="D616" s="1" t="str">
        <f>August!I44</f>
        <v>Basic</v>
      </c>
      <c r="E616" s="1" t="str">
        <f>August!J44</f>
        <v>Asian</v>
      </c>
    </row>
    <row r="617">
      <c r="A617" s="1" t="str">
        <f>August!F45</f>
        <v>121392</v>
      </c>
      <c r="B617" s="1" t="str">
        <f>August!G45</f>
        <v>08/15/2023</v>
      </c>
      <c r="C617" s="1" t="str">
        <f>August!H45</f>
        <v>4/6/1980</v>
      </c>
      <c r="D617" s="1" t="str">
        <f>August!I45</f>
        <v>Gold</v>
      </c>
      <c r="E617" s="1" t="str">
        <f>August!J45</f>
        <v>Black</v>
      </c>
    </row>
    <row r="618">
      <c r="A618" s="1" t="str">
        <f>August!F46</f>
        <v>256547</v>
      </c>
      <c r="B618" s="1" t="str">
        <f>August!G46</f>
        <v>08/30/2023</v>
      </c>
      <c r="C618" s="1" t="str">
        <f>August!H46</f>
        <v>8/21/2013</v>
      </c>
      <c r="D618" s="1" t="str">
        <f>August!I46</f>
        <v>Gold</v>
      </c>
      <c r="E618" s="1" t="str">
        <f>August!J46</f>
        <v>Black</v>
      </c>
    </row>
    <row r="619">
      <c r="A619" s="1" t="str">
        <f>August!F47</f>
        <v>970285</v>
      </c>
      <c r="B619" s="1" t="str">
        <f>August!G47</f>
        <v>08/4/2023</v>
      </c>
      <c r="C619" s="1" t="str">
        <f>August!H47</f>
        <v>8/21/1988</v>
      </c>
      <c r="D619" s="1" t="str">
        <f>August!I47</f>
        <v>Basic</v>
      </c>
      <c r="E619" s="1" t="str">
        <f>August!J47</f>
        <v>Other</v>
      </c>
    </row>
    <row r="620">
      <c r="A620" s="1" t="str">
        <f>August!F48</f>
        <v>150324</v>
      </c>
      <c r="B620" s="1" t="str">
        <f>August!G48</f>
        <v>08/11/2023</v>
      </c>
      <c r="C620" s="1" t="str">
        <f>August!H48</f>
        <v>6/13/2017</v>
      </c>
      <c r="D620" s="1" t="str">
        <f>August!I48</f>
        <v>Gold</v>
      </c>
      <c r="E620" s="1" t="str">
        <f>August!J48</f>
        <v>White</v>
      </c>
    </row>
    <row r="621">
      <c r="A621" s="1" t="str">
        <f>August!F49</f>
        <v>103488</v>
      </c>
      <c r="B621" s="1" t="str">
        <f>August!G49</f>
        <v>08/28/2023</v>
      </c>
      <c r="C621" s="1" t="str">
        <f>August!H49</f>
        <v>9/26/1957</v>
      </c>
      <c r="D621" s="1" t="str">
        <f>August!I49</f>
        <v>Basic</v>
      </c>
      <c r="E621" s="1" t="str">
        <f>August!J49</f>
        <v>Other</v>
      </c>
    </row>
    <row r="622">
      <c r="A622" s="1" t="str">
        <f>August!F50</f>
        <v>938419</v>
      </c>
      <c r="B622" s="1" t="str">
        <f>August!G50</f>
        <v>08/17/2023</v>
      </c>
      <c r="C622" s="1" t="str">
        <f>August!H50</f>
        <v>10/4/2003</v>
      </c>
      <c r="D622" s="1" t="str">
        <f>August!I50</f>
        <v>Basic</v>
      </c>
      <c r="E622" s="1" t="str">
        <f>August!J50</f>
        <v>White</v>
      </c>
    </row>
    <row r="623">
      <c r="A623" s="1" t="str">
        <f>August!F51</f>
        <v>201221</v>
      </c>
      <c r="B623" s="1" t="str">
        <f>August!G51</f>
        <v>08/6/2023</v>
      </c>
      <c r="C623" s="1" t="str">
        <f>August!H51</f>
        <v>11/10/1941</v>
      </c>
      <c r="D623" s="1" t="str">
        <f>August!I51</f>
        <v>Gold</v>
      </c>
      <c r="E623" s="1" t="str">
        <f>August!J51</f>
        <v>Black</v>
      </c>
    </row>
    <row r="624">
      <c r="A624" s="1" t="str">
        <f>August!F52</f>
        <v>488622</v>
      </c>
      <c r="B624" s="1" t="str">
        <f>August!G52</f>
        <v>08/31/2023</v>
      </c>
      <c r="C624" s="1" t="str">
        <f>August!H52</f>
        <v>2/19/1945</v>
      </c>
      <c r="D624" s="1" t="str">
        <f>August!I52</f>
        <v>Gold</v>
      </c>
      <c r="E624" s="1" t="str">
        <f>August!J52</f>
        <v>Black</v>
      </c>
    </row>
    <row r="625">
      <c r="A625" s="1" t="str">
        <f>August!F53</f>
        <v>402835</v>
      </c>
      <c r="B625" s="1" t="str">
        <f>August!G53</f>
        <v>08/27/2023</v>
      </c>
      <c r="C625" s="1" t="str">
        <f>August!H53</f>
        <v>5/25/1941</v>
      </c>
      <c r="D625" s="1" t="str">
        <f>August!I53</f>
        <v>Platinum</v>
      </c>
      <c r="E625" s="1" t="str">
        <f>August!J53</f>
        <v>Other</v>
      </c>
    </row>
    <row r="626">
      <c r="A626" s="1" t="str">
        <f>August!F54</f>
        <v>673773</v>
      </c>
      <c r="B626" s="1" t="str">
        <f>August!G54</f>
        <v>08/26/2023</v>
      </c>
      <c r="C626" s="1" t="str">
        <f>August!H54</f>
        <v>9/22/1951</v>
      </c>
      <c r="D626" s="1" t="str">
        <f>August!I54</f>
        <v>Gold</v>
      </c>
      <c r="E626" s="1" t="str">
        <f>August!J54</f>
        <v>White</v>
      </c>
    </row>
    <row r="627">
      <c r="A627" s="1" t="str">
        <f>August!F55</f>
        <v>853490</v>
      </c>
      <c r="B627" s="1" t="str">
        <f>August!G55</f>
        <v>08/21/2023</v>
      </c>
      <c r="C627" s="1" t="str">
        <f>August!H55</f>
        <v>8/18/2011</v>
      </c>
      <c r="D627" s="1" t="str">
        <f>August!I55</f>
        <v>Basic</v>
      </c>
      <c r="E627" s="1" t="str">
        <f>August!J55</f>
        <v>Black</v>
      </c>
    </row>
    <row r="628">
      <c r="A628" s="1" t="str">
        <f>August!F56</f>
        <v>239999</v>
      </c>
      <c r="B628" s="1" t="str">
        <f>August!G56</f>
        <v>08/10/2023</v>
      </c>
      <c r="C628" s="1" t="str">
        <f>August!H56</f>
        <v>9/7/1988</v>
      </c>
      <c r="D628" s="1" t="str">
        <f>August!I56</f>
        <v>Platinum</v>
      </c>
      <c r="E628" s="1" t="str">
        <f>August!J56</f>
        <v>Black</v>
      </c>
    </row>
    <row r="629">
      <c r="A629" s="1" t="str">
        <f>August!F57</f>
        <v>166958</v>
      </c>
      <c r="B629" s="1" t="str">
        <f>August!G57</f>
        <v>08/27/2023</v>
      </c>
      <c r="C629" s="1" t="str">
        <f>August!H57</f>
        <v>5/2/1947</v>
      </c>
      <c r="D629" s="1" t="str">
        <f>August!I57</f>
        <v>Platinum</v>
      </c>
      <c r="E629" s="1" t="str">
        <f>August!J57</f>
        <v>Black</v>
      </c>
    </row>
    <row r="630">
      <c r="A630" s="1" t="str">
        <f>August!F58</f>
        <v>222493</v>
      </c>
      <c r="B630" s="1" t="str">
        <f>August!G58</f>
        <v>08/2/2023</v>
      </c>
      <c r="C630" s="1" t="str">
        <f>August!H58</f>
        <v>12/6/1941</v>
      </c>
      <c r="D630" s="1" t="str">
        <f>August!I58</f>
        <v>Platinum</v>
      </c>
      <c r="E630" s="1" t="str">
        <f>August!J58</f>
        <v>Asian</v>
      </c>
    </row>
    <row r="631">
      <c r="A631" s="1" t="str">
        <f>August!F59</f>
        <v>101744</v>
      </c>
      <c r="B631" s="1" t="str">
        <f>August!G59</f>
        <v>08/29/2023</v>
      </c>
      <c r="C631" s="1" t="str">
        <f>August!H59</f>
        <v>1/21/1945</v>
      </c>
      <c r="D631" s="1" t="str">
        <f>August!I59</f>
        <v>Basic</v>
      </c>
      <c r="E631" s="1" t="str">
        <f>August!J59</f>
        <v>Asian</v>
      </c>
    </row>
    <row r="632">
      <c r="A632" s="1" t="str">
        <f>August!F60</f>
        <v>973817</v>
      </c>
      <c r="B632" s="1" t="str">
        <f>August!G60</f>
        <v>08/7/2023</v>
      </c>
      <c r="C632" s="1" t="str">
        <f>August!H60</f>
        <v>7/26/1990</v>
      </c>
      <c r="D632" s="1" t="str">
        <f>August!I60</f>
        <v>Gold</v>
      </c>
      <c r="E632" s="1" t="str">
        <f>August!J60</f>
        <v>Black</v>
      </c>
    </row>
    <row r="633">
      <c r="A633" s="1" t="str">
        <f>August!F61</f>
        <v>692114</v>
      </c>
      <c r="B633" s="1" t="str">
        <f>August!G61</f>
        <v>08/22/2023</v>
      </c>
      <c r="C633" s="1" t="str">
        <f>August!H61</f>
        <v>9/10/1973</v>
      </c>
      <c r="D633" s="1" t="str">
        <f>August!I61</f>
        <v>Platinum</v>
      </c>
      <c r="E633" s="1" t="str">
        <f>August!J61</f>
        <v>Asian</v>
      </c>
    </row>
    <row r="634">
      <c r="A634" s="1" t="str">
        <f>August!F62</f>
        <v>896280</v>
      </c>
      <c r="B634" s="1" t="str">
        <f>August!G62</f>
        <v>08/6/2023</v>
      </c>
      <c r="C634" s="1" t="str">
        <f>August!H62</f>
        <v>9/24/1996</v>
      </c>
      <c r="D634" s="1" t="str">
        <f>August!I62</f>
        <v>Basic</v>
      </c>
      <c r="E634" s="1" t="str">
        <f>August!J62</f>
        <v>Other</v>
      </c>
    </row>
    <row r="635">
      <c r="A635" s="1" t="str">
        <f>August!F63</f>
        <v>610368</v>
      </c>
      <c r="B635" s="1" t="str">
        <f>August!G63</f>
        <v>08/22/2023</v>
      </c>
      <c r="C635" s="1" t="str">
        <f>August!H63</f>
        <v>7/15/1965</v>
      </c>
      <c r="D635" s="1" t="str">
        <f>August!I63</f>
        <v>Basic</v>
      </c>
      <c r="E635" s="1" t="str">
        <f>August!J63</f>
        <v>Other</v>
      </c>
    </row>
    <row r="636">
      <c r="A636" s="1" t="str">
        <f>August!F64</f>
        <v>422091</v>
      </c>
      <c r="B636" s="1" t="str">
        <f>August!G64</f>
        <v>08/20/2023</v>
      </c>
      <c r="C636" s="1" t="str">
        <f>August!H64</f>
        <v>3/9/2001</v>
      </c>
      <c r="D636" s="1" t="str">
        <f>August!I64</f>
        <v>Gold</v>
      </c>
      <c r="E636" s="1" t="str">
        <f>August!J64</f>
        <v>Asian</v>
      </c>
    </row>
    <row r="637">
      <c r="A637" s="1" t="str">
        <f>August!F65</f>
        <v>162027</v>
      </c>
      <c r="B637" s="1" t="str">
        <f>August!G65</f>
        <v>08/8/2023</v>
      </c>
      <c r="C637" s="1" t="str">
        <f>August!H65</f>
        <v>3/15/1992</v>
      </c>
      <c r="D637" s="1" t="str">
        <f>August!I65</f>
        <v>Gold</v>
      </c>
      <c r="E637" s="1" t="str">
        <f>August!J65</f>
        <v>Other</v>
      </c>
    </row>
    <row r="638">
      <c r="A638" s="1" t="str">
        <f>August!F66</f>
        <v>273251</v>
      </c>
      <c r="B638" s="1" t="str">
        <f>August!G66</f>
        <v>08/9/2023</v>
      </c>
      <c r="C638" s="1" t="str">
        <f>August!H66</f>
        <v>3/23/1963</v>
      </c>
      <c r="D638" s="1" t="str">
        <f>August!I66</f>
        <v>Basic</v>
      </c>
      <c r="E638" s="1" t="str">
        <f>August!J66</f>
        <v>Asian</v>
      </c>
    </row>
    <row r="639">
      <c r="A639" s="1" t="str">
        <f>August!F67</f>
        <v>699074</v>
      </c>
      <c r="B639" s="1" t="str">
        <f>August!G67</f>
        <v>08/4/2023</v>
      </c>
      <c r="C639" s="1" t="str">
        <f>August!H67</f>
        <v>8/13/1972</v>
      </c>
      <c r="D639" s="1" t="str">
        <f>August!I67</f>
        <v>Basic</v>
      </c>
      <c r="E639" s="1" t="str">
        <f>August!J67</f>
        <v>Other</v>
      </c>
    </row>
    <row r="640">
      <c r="A640" s="1" t="str">
        <f>August!F68</f>
        <v>549892</v>
      </c>
      <c r="B640" s="1" t="str">
        <f>August!G68</f>
        <v>08/30/2023</v>
      </c>
      <c r="C640" s="1" t="str">
        <f>August!H68</f>
        <v>7/5/1959</v>
      </c>
      <c r="D640" s="1" t="str">
        <f>August!I68</f>
        <v>Gold</v>
      </c>
      <c r="E640" s="1" t="str">
        <f>August!J68</f>
        <v>Asian</v>
      </c>
    </row>
    <row r="641">
      <c r="A641" s="1" t="str">
        <f>August!F69</f>
        <v>472221</v>
      </c>
      <c r="B641" s="1" t="str">
        <f>August!G69</f>
        <v>08/17/2023</v>
      </c>
      <c r="C641" s="1" t="str">
        <f>August!H69</f>
        <v>10/12/1994</v>
      </c>
      <c r="D641" s="1" t="str">
        <f>August!I69</f>
        <v>Platinum</v>
      </c>
      <c r="E641" s="1" t="str">
        <f>August!J69</f>
        <v>White</v>
      </c>
    </row>
    <row r="642">
      <c r="A642" s="1" t="str">
        <f>August!F70</f>
        <v>312324</v>
      </c>
      <c r="B642" s="1" t="str">
        <f>August!G70</f>
        <v>08/28/2023</v>
      </c>
      <c r="C642" s="1" t="str">
        <f>August!H70</f>
        <v>8/13/2016</v>
      </c>
      <c r="D642" s="1" t="str">
        <f>August!I70</f>
        <v>Gold</v>
      </c>
      <c r="E642" s="1" t="str">
        <f>August!J70</f>
        <v>White</v>
      </c>
    </row>
    <row r="643">
      <c r="A643" s="1" t="str">
        <f>August!F71</f>
        <v>935038</v>
      </c>
      <c r="B643" s="1" t="str">
        <f>August!G71</f>
        <v>08/28/2023</v>
      </c>
      <c r="C643" s="1" t="str">
        <f>August!H71</f>
        <v>1/24/2007</v>
      </c>
      <c r="D643" s="1" t="str">
        <f>August!I71</f>
        <v>Platinum</v>
      </c>
      <c r="E643" s="1" t="str">
        <f>August!J71</f>
        <v>Black</v>
      </c>
    </row>
    <row r="644">
      <c r="A644" s="1" t="str">
        <f>August!F72</f>
        <v>883835</v>
      </c>
      <c r="B644" s="1" t="str">
        <f>August!G72</f>
        <v>08/18/2023</v>
      </c>
      <c r="C644" s="1" t="str">
        <f>August!H72</f>
        <v>11/18/1987</v>
      </c>
      <c r="D644" s="1" t="str">
        <f>August!I72</f>
        <v>Gold</v>
      </c>
      <c r="E644" s="1" t="str">
        <f>August!J72</f>
        <v>Asian</v>
      </c>
    </row>
    <row r="645">
      <c r="A645" s="1" t="str">
        <f>August!F73</f>
        <v>660049</v>
      </c>
      <c r="B645" s="1" t="str">
        <f>August!G73</f>
        <v>08/2/2023</v>
      </c>
      <c r="C645" s="1" t="str">
        <f>August!H73</f>
        <v>11/21/1984</v>
      </c>
      <c r="D645" s="1" t="str">
        <f>August!I73</f>
        <v>Basic</v>
      </c>
      <c r="E645" s="1" t="str">
        <f>August!J73</f>
        <v>Asian</v>
      </c>
    </row>
    <row r="646">
      <c r="A646" s="1" t="str">
        <f>August!F74</f>
        <v>202400</v>
      </c>
      <c r="B646" s="1" t="str">
        <f>August!G74</f>
        <v>08/13/2023</v>
      </c>
      <c r="C646" s="1" t="str">
        <f>August!H74</f>
        <v>6/28/1962</v>
      </c>
      <c r="D646" s="1" t="str">
        <f>August!I74</f>
        <v>Basic</v>
      </c>
      <c r="E646" s="1" t="str">
        <f>August!J74</f>
        <v>White</v>
      </c>
    </row>
    <row r="647">
      <c r="A647" s="1" t="str">
        <f>August!F75</f>
        <v>478868</v>
      </c>
      <c r="B647" s="1" t="str">
        <f>August!G75</f>
        <v>08/15/2023</v>
      </c>
      <c r="C647" s="1" t="str">
        <f>August!H75</f>
        <v>10/27/1958</v>
      </c>
      <c r="D647" s="1" t="str">
        <f>August!I75</f>
        <v>Gold</v>
      </c>
      <c r="E647" s="1" t="str">
        <f>August!J75</f>
        <v>Other</v>
      </c>
    </row>
    <row r="648">
      <c r="A648" s="1" t="str">
        <f>August!F76</f>
        <v>593067</v>
      </c>
      <c r="B648" s="1" t="str">
        <f>August!G76</f>
        <v>08/20/2023</v>
      </c>
      <c r="C648" s="1" t="str">
        <f>August!H76</f>
        <v>10/1/2019</v>
      </c>
      <c r="D648" s="1" t="str">
        <f>August!I76</f>
        <v>Gold</v>
      </c>
      <c r="E648" s="1" t="str">
        <f>August!J76</f>
        <v>Black</v>
      </c>
    </row>
    <row r="649">
      <c r="A649" s="1" t="str">
        <f>August!F77</f>
        <v>982613</v>
      </c>
      <c r="B649" s="1" t="str">
        <f>August!G77</f>
        <v>08/23/2023</v>
      </c>
      <c r="C649" s="1" t="str">
        <f>August!H77</f>
        <v>5/29/1949</v>
      </c>
      <c r="D649" s="1" t="str">
        <f>August!I77</f>
        <v>Platinum</v>
      </c>
      <c r="E649" s="1" t="str">
        <f>August!J77</f>
        <v>White</v>
      </c>
    </row>
    <row r="650">
      <c r="A650" s="1" t="str">
        <f>August!F78</f>
        <v>786474</v>
      </c>
      <c r="B650" s="1" t="str">
        <f>August!G78</f>
        <v>08/19/2023</v>
      </c>
      <c r="C650" s="1" t="str">
        <f>August!H78</f>
        <v>4/5/1992</v>
      </c>
      <c r="D650" s="1" t="str">
        <f>August!I78</f>
        <v>Gold</v>
      </c>
      <c r="E650" s="1" t="str">
        <f>August!J78</f>
        <v>Other</v>
      </c>
    </row>
    <row r="651">
      <c r="A651" s="1" t="str">
        <f>August!F79</f>
        <v>485343</v>
      </c>
      <c r="B651" s="1" t="str">
        <f>August!G79</f>
        <v>08/14/2023</v>
      </c>
      <c r="C651" s="1" t="str">
        <f>August!H79</f>
        <v>6/21/1945</v>
      </c>
      <c r="D651" s="1" t="str">
        <f>August!I79</f>
        <v>Gold</v>
      </c>
      <c r="E651" s="1" t="str">
        <f>August!J79</f>
        <v>Other</v>
      </c>
    </row>
    <row r="652">
      <c r="A652" s="1" t="str">
        <f>August!F80</f>
        <v>717582</v>
      </c>
      <c r="B652" s="1" t="str">
        <f>August!G80</f>
        <v>08/10/2023</v>
      </c>
      <c r="C652" s="1" t="str">
        <f>August!H80</f>
        <v>8/5/1950</v>
      </c>
      <c r="D652" s="1" t="str">
        <f>August!I80</f>
        <v>Basic</v>
      </c>
      <c r="E652" s="1" t="str">
        <f>August!J80</f>
        <v>Other</v>
      </c>
    </row>
    <row r="653">
      <c r="A653" s="1" t="str">
        <f>August!F81</f>
        <v>332370</v>
      </c>
      <c r="B653" s="1" t="str">
        <f>August!G81</f>
        <v>08/21/2023</v>
      </c>
      <c r="C653" s="1" t="str">
        <f>August!H81</f>
        <v>10/26/2002</v>
      </c>
      <c r="D653" s="1" t="str">
        <f>August!I81</f>
        <v>Basic</v>
      </c>
      <c r="E653" s="1" t="str">
        <f>August!J81</f>
        <v>White</v>
      </c>
    </row>
    <row r="654">
      <c r="A654" s="1" t="str">
        <f>August!F82</f>
        <v>146884</v>
      </c>
      <c r="B654" s="1" t="str">
        <f>August!G82</f>
        <v>08/24/2023</v>
      </c>
      <c r="C654" s="1" t="str">
        <f>August!H82</f>
        <v>5/19/1961</v>
      </c>
      <c r="D654" s="1" t="str">
        <f>August!I82</f>
        <v>Basic</v>
      </c>
      <c r="E654" s="1" t="str">
        <f>August!J82</f>
        <v>Black</v>
      </c>
    </row>
    <row r="655">
      <c r="A655" s="1" t="str">
        <f>August!F83</f>
        <v>698848</v>
      </c>
      <c r="B655" s="1" t="str">
        <f>August!G83</f>
        <v>08/28/2023</v>
      </c>
      <c r="C655" s="1" t="str">
        <f>August!H83</f>
        <v>5/8/1970</v>
      </c>
      <c r="D655" s="1" t="str">
        <f>August!I83</f>
        <v>Platinum</v>
      </c>
      <c r="E655" s="1" t="str">
        <f>August!J83</f>
        <v>White</v>
      </c>
    </row>
    <row r="656">
      <c r="A656" s="1" t="str">
        <f>August!F84</f>
        <v>720947</v>
      </c>
      <c r="B656" s="1" t="str">
        <f>August!G84</f>
        <v>08/19/2023</v>
      </c>
      <c r="C656" s="1" t="str">
        <f>August!H84</f>
        <v>11/17/1997</v>
      </c>
      <c r="D656" s="1" t="str">
        <f>August!I84</f>
        <v>Basic</v>
      </c>
      <c r="E656" s="1" t="str">
        <f>August!J84</f>
        <v>Other</v>
      </c>
    </row>
    <row r="657">
      <c r="A657" s="1" t="str">
        <f>August!F85</f>
        <v>168221</v>
      </c>
      <c r="B657" s="1" t="str">
        <f>August!G85</f>
        <v>08/17/2023</v>
      </c>
      <c r="C657" s="1" t="str">
        <f>August!H85</f>
        <v>2/26/2003</v>
      </c>
      <c r="D657" s="1" t="str">
        <f>August!I85</f>
        <v>Gold</v>
      </c>
      <c r="E657" s="1" t="str">
        <f>August!J85</f>
        <v>Other</v>
      </c>
    </row>
    <row r="658">
      <c r="A658" s="1" t="str">
        <f>August!F86</f>
        <v>900582</v>
      </c>
      <c r="B658" s="1" t="str">
        <f>August!G86</f>
        <v>08/29/2023</v>
      </c>
      <c r="C658" s="1" t="str">
        <f>August!H86</f>
        <v>12/9/1963</v>
      </c>
      <c r="D658" s="1" t="str">
        <f>August!I86</f>
        <v>Gold</v>
      </c>
      <c r="E658" s="1" t="str">
        <f>August!J86</f>
        <v>Asian</v>
      </c>
    </row>
    <row r="659">
      <c r="A659" s="1" t="str">
        <f>August!F87</f>
        <v>333873</v>
      </c>
      <c r="B659" s="1" t="str">
        <f>August!G87</f>
        <v>08/16/2023</v>
      </c>
      <c r="C659" s="1" t="str">
        <f>August!H87</f>
        <v>8/31/1994</v>
      </c>
      <c r="D659" s="1" t="str">
        <f>August!I87</f>
        <v>Platinum</v>
      </c>
      <c r="E659" s="1" t="str">
        <f>August!J87</f>
        <v>Black</v>
      </c>
    </row>
    <row r="660">
      <c r="A660" s="1" t="str">
        <f>September!F2</f>
        <v>319351</v>
      </c>
      <c r="B660" s="1" t="str">
        <f>September!G2</f>
        <v>09/1/2023</v>
      </c>
      <c r="C660" s="1" t="str">
        <f>September!H2</f>
        <v>8/11/1961</v>
      </c>
      <c r="D660" s="1" t="str">
        <f>September!I2</f>
        <v>Gold</v>
      </c>
      <c r="E660" s="1" t="str">
        <f>September!J2</f>
        <v>Black</v>
      </c>
    </row>
    <row r="661">
      <c r="A661" s="1" t="str">
        <f>September!F3</f>
        <v>228495</v>
      </c>
      <c r="B661" s="1" t="str">
        <f>September!G3</f>
        <v>09/8/2023</v>
      </c>
      <c r="C661" s="1" t="str">
        <f>September!H3</f>
        <v>4/7/2006</v>
      </c>
      <c r="D661" s="1" t="str">
        <f>September!I3</f>
        <v>Basic</v>
      </c>
      <c r="E661" s="1" t="str">
        <f>September!J3</f>
        <v>Other</v>
      </c>
    </row>
    <row r="662">
      <c r="A662" s="1" t="str">
        <f>September!F4</f>
        <v>163670</v>
      </c>
      <c r="B662" s="1" t="str">
        <f>September!G4</f>
        <v>09/17/2023</v>
      </c>
      <c r="C662" s="1" t="str">
        <f>September!H4</f>
        <v>9/7/1970</v>
      </c>
      <c r="D662" s="1" t="str">
        <f>September!I4</f>
        <v>Platinum</v>
      </c>
      <c r="E662" s="1" t="str">
        <f>September!J4</f>
        <v>White</v>
      </c>
    </row>
    <row r="663">
      <c r="A663" s="1" t="str">
        <f>September!F5</f>
        <v>801185</v>
      </c>
      <c r="B663" s="1" t="str">
        <f>September!G5</f>
        <v>09/29/2023</v>
      </c>
      <c r="C663" s="1" t="str">
        <f>September!H5</f>
        <v>3/17/1975</v>
      </c>
      <c r="D663" s="1" t="str">
        <f>September!I5</f>
        <v>Basic</v>
      </c>
      <c r="E663" s="1" t="str">
        <f>September!J5</f>
        <v>Other</v>
      </c>
    </row>
    <row r="664">
      <c r="A664" s="1" t="str">
        <f>September!F6</f>
        <v>625210</v>
      </c>
      <c r="B664" s="1" t="str">
        <f>September!G6</f>
        <v>09/30/2023</v>
      </c>
      <c r="C664" s="1" t="str">
        <f>September!H6</f>
        <v>12/23/1995</v>
      </c>
      <c r="D664" s="1" t="str">
        <f>September!I6</f>
        <v>Gold</v>
      </c>
      <c r="E664" s="1" t="str">
        <f>September!J6</f>
        <v>Other</v>
      </c>
    </row>
    <row r="665">
      <c r="A665" s="1" t="str">
        <f>September!F7</f>
        <v>615502</v>
      </c>
      <c r="B665" s="1" t="str">
        <f>September!G7</f>
        <v>09/12/2023</v>
      </c>
      <c r="C665" s="1" t="str">
        <f>September!H7</f>
        <v>10/1/1973</v>
      </c>
      <c r="D665" s="1" t="str">
        <f>September!I7</f>
        <v>Basic</v>
      </c>
      <c r="E665" s="1" t="str">
        <f>September!J7</f>
        <v>Asian</v>
      </c>
    </row>
    <row r="666">
      <c r="A666" s="1" t="str">
        <f>September!F8</f>
        <v>541236</v>
      </c>
      <c r="B666" s="1" t="str">
        <f>September!G8</f>
        <v>09/12/2023</v>
      </c>
      <c r="C666" s="1" t="str">
        <f>September!H8</f>
        <v>4/13/1964</v>
      </c>
      <c r="D666" s="1" t="str">
        <f>September!I8</f>
        <v>Gold</v>
      </c>
      <c r="E666" s="1" t="str">
        <f>September!J8</f>
        <v>White</v>
      </c>
    </row>
    <row r="667">
      <c r="A667" s="1" t="str">
        <f>September!F9</f>
        <v>861502</v>
      </c>
      <c r="B667" s="1" t="str">
        <f>September!G9</f>
        <v>09/24/2023</v>
      </c>
      <c r="C667" s="1" t="str">
        <f>September!H9</f>
        <v>5/7/1981</v>
      </c>
      <c r="D667" s="1" t="str">
        <f>September!I9</f>
        <v>Basic</v>
      </c>
      <c r="E667" s="1" t="str">
        <f>September!J9</f>
        <v>Other</v>
      </c>
    </row>
    <row r="668">
      <c r="A668" s="1" t="str">
        <f>September!F10</f>
        <v>159537</v>
      </c>
      <c r="B668" s="1" t="str">
        <f>September!G10</f>
        <v>09/26/2023</v>
      </c>
      <c r="C668" s="1" t="str">
        <f>September!H10</f>
        <v>7/30/2012</v>
      </c>
      <c r="D668" s="1" t="str">
        <f>September!I10</f>
        <v>Gold</v>
      </c>
      <c r="E668" s="1" t="str">
        <f>September!J10</f>
        <v>Asian</v>
      </c>
    </row>
    <row r="669">
      <c r="A669" s="1" t="str">
        <f>September!F11</f>
        <v>252873</v>
      </c>
      <c r="B669" s="1" t="str">
        <f>September!G11</f>
        <v>09/17/2023</v>
      </c>
      <c r="C669" s="1" t="str">
        <f>September!H11</f>
        <v>2/17/1946</v>
      </c>
      <c r="D669" s="1" t="str">
        <f>September!I11</f>
        <v>Basic</v>
      </c>
      <c r="E669" s="1" t="str">
        <f>September!J11</f>
        <v>Other</v>
      </c>
    </row>
    <row r="670">
      <c r="A670" s="1" t="str">
        <f>September!F12</f>
        <v>383716</v>
      </c>
      <c r="B670" s="1" t="str">
        <f>September!G12</f>
        <v>09/27/2023</v>
      </c>
      <c r="C670" s="1" t="str">
        <f>September!H12</f>
        <v>6/22/2000</v>
      </c>
      <c r="D670" s="1" t="str">
        <f>September!I12</f>
        <v>Platinum</v>
      </c>
      <c r="E670" s="1" t="str">
        <f>September!J12</f>
        <v>Asian</v>
      </c>
    </row>
    <row r="671">
      <c r="A671" s="1" t="str">
        <f>September!F13</f>
        <v>974075</v>
      </c>
      <c r="B671" s="1" t="str">
        <f>September!G13</f>
        <v>09/6/2023</v>
      </c>
      <c r="C671" s="1" t="str">
        <f>September!H13</f>
        <v>3/24/1982</v>
      </c>
      <c r="D671" s="1" t="str">
        <f>September!I13</f>
        <v>Basic</v>
      </c>
      <c r="E671" s="1" t="str">
        <f>September!J13</f>
        <v>White</v>
      </c>
    </row>
    <row r="672">
      <c r="A672" s="1" t="str">
        <f>September!F14</f>
        <v>960401</v>
      </c>
      <c r="B672" s="1" t="str">
        <f>September!G14</f>
        <v>09/9/2023</v>
      </c>
      <c r="C672" s="1" t="str">
        <f>September!H14</f>
        <v>2/26/1991</v>
      </c>
      <c r="D672" s="1" t="str">
        <f>September!I14</f>
        <v>Gold</v>
      </c>
      <c r="E672" s="1" t="str">
        <f>September!J14</f>
        <v>Black</v>
      </c>
    </row>
    <row r="673">
      <c r="A673" s="1" t="str">
        <f>September!F15</f>
        <v>725517</v>
      </c>
      <c r="B673" s="1" t="str">
        <f>September!G15</f>
        <v>09/9/2023</v>
      </c>
      <c r="C673" s="1" t="str">
        <f>September!H15</f>
        <v>11/29/1943</v>
      </c>
      <c r="D673" s="1" t="str">
        <f>September!I15</f>
        <v>Basic</v>
      </c>
      <c r="E673" s="1" t="str">
        <f>September!J15</f>
        <v>White</v>
      </c>
    </row>
    <row r="674">
      <c r="A674" s="1" t="str">
        <f>September!F16</f>
        <v>947646</v>
      </c>
      <c r="B674" s="1" t="str">
        <f>September!G16</f>
        <v>09/5/2023</v>
      </c>
      <c r="C674" s="1" t="str">
        <f>September!H16</f>
        <v>4/14/1968</v>
      </c>
      <c r="D674" s="1" t="str">
        <f>September!I16</f>
        <v>Gold</v>
      </c>
      <c r="E674" s="1" t="str">
        <f>September!J16</f>
        <v>Asian</v>
      </c>
    </row>
    <row r="675">
      <c r="A675" s="1" t="str">
        <f>September!F17</f>
        <v>169924</v>
      </c>
      <c r="B675" s="1" t="str">
        <f>September!G17</f>
        <v>09/11/2023</v>
      </c>
      <c r="C675" s="1" t="str">
        <f>September!H17</f>
        <v>10/20/1977</v>
      </c>
      <c r="D675" s="1" t="str">
        <f>September!I17</f>
        <v>Platinum</v>
      </c>
      <c r="E675" s="1" t="str">
        <f>September!J17</f>
        <v>White</v>
      </c>
    </row>
    <row r="676">
      <c r="A676" s="1" t="str">
        <f>September!F18</f>
        <v>188536</v>
      </c>
      <c r="B676" s="1" t="str">
        <f>September!G18</f>
        <v>09/9/2023</v>
      </c>
      <c r="C676" s="1" t="str">
        <f>September!H18</f>
        <v>12/25/1946</v>
      </c>
      <c r="D676" s="1" t="str">
        <f>September!I18</f>
        <v>Basic</v>
      </c>
      <c r="E676" s="1" t="str">
        <f>September!J18</f>
        <v>Other</v>
      </c>
    </row>
    <row r="677">
      <c r="A677" s="1" t="str">
        <f>September!F19</f>
        <v>512357</v>
      </c>
      <c r="B677" s="1" t="str">
        <f>September!G19</f>
        <v>09/25/2023</v>
      </c>
      <c r="C677" s="1" t="str">
        <f>September!H19</f>
        <v>11/19/2009</v>
      </c>
      <c r="D677" s="1" t="str">
        <f>September!I19</f>
        <v>Basic</v>
      </c>
      <c r="E677" s="1" t="str">
        <f>September!J19</f>
        <v>White</v>
      </c>
    </row>
    <row r="678">
      <c r="A678" s="1" t="str">
        <f>September!F20</f>
        <v>892110</v>
      </c>
      <c r="B678" s="1" t="str">
        <f>September!G20</f>
        <v>09/27/2023</v>
      </c>
      <c r="C678" s="1" t="str">
        <f>September!H20</f>
        <v>5/27/1955</v>
      </c>
      <c r="D678" s="1" t="str">
        <f>September!I20</f>
        <v>Gold</v>
      </c>
      <c r="E678" s="1" t="str">
        <f>September!J20</f>
        <v>Asian</v>
      </c>
    </row>
    <row r="679">
      <c r="A679" s="1" t="str">
        <f>September!F21</f>
        <v>350952</v>
      </c>
      <c r="B679" s="1" t="str">
        <f>September!G21</f>
        <v>09/10/2023</v>
      </c>
      <c r="C679" s="1" t="str">
        <f>September!H21</f>
        <v>5/14/1997</v>
      </c>
      <c r="D679" s="1" t="str">
        <f>September!I21</f>
        <v>Basic</v>
      </c>
      <c r="E679" s="1" t="str">
        <f>September!J21</f>
        <v>Black</v>
      </c>
    </row>
    <row r="680">
      <c r="A680" s="1" t="str">
        <f>September!F22</f>
        <v>546446</v>
      </c>
      <c r="B680" s="1" t="str">
        <f>September!G22</f>
        <v>09/23/2023</v>
      </c>
      <c r="C680" s="1" t="str">
        <f>September!H22</f>
        <v>3/31/1973</v>
      </c>
      <c r="D680" s="1" t="str">
        <f>September!I22</f>
        <v>Basic</v>
      </c>
      <c r="E680" s="1" t="str">
        <f>September!J22</f>
        <v>White</v>
      </c>
    </row>
    <row r="681">
      <c r="A681" s="1" t="str">
        <f>September!F23</f>
        <v>274486</v>
      </c>
      <c r="B681" s="1" t="str">
        <f>September!G23</f>
        <v>09/11/2023</v>
      </c>
      <c r="C681" s="1" t="str">
        <f>September!H23</f>
        <v>4/11/2010</v>
      </c>
      <c r="D681" s="1" t="str">
        <f>September!I23</f>
        <v>Gold</v>
      </c>
      <c r="E681" s="1" t="str">
        <f>September!J23</f>
        <v>White</v>
      </c>
    </row>
    <row r="682">
      <c r="A682" s="1" t="str">
        <f>September!F24</f>
        <v>889441</v>
      </c>
      <c r="B682" s="1" t="str">
        <f>September!G24</f>
        <v>09/2/2023</v>
      </c>
      <c r="C682" s="1" t="str">
        <f>September!H24</f>
        <v>9/23/2000</v>
      </c>
      <c r="D682" s="1" t="str">
        <f>September!I24</f>
        <v>Basic</v>
      </c>
      <c r="E682" s="1" t="str">
        <f>September!J24</f>
        <v>Asian</v>
      </c>
    </row>
    <row r="683">
      <c r="A683" s="1" t="str">
        <f>September!F25</f>
        <v>222775</v>
      </c>
      <c r="B683" s="1" t="str">
        <f>September!G25</f>
        <v>09/30/2023</v>
      </c>
      <c r="C683" s="1" t="str">
        <f>September!H25</f>
        <v>11/30/1960</v>
      </c>
      <c r="D683" s="1" t="str">
        <f>September!I25</f>
        <v>Basic</v>
      </c>
      <c r="E683" s="1" t="str">
        <f>September!J25</f>
        <v>White</v>
      </c>
    </row>
    <row r="684">
      <c r="A684" s="1" t="str">
        <f>September!F26</f>
        <v>113596</v>
      </c>
      <c r="B684" s="1" t="str">
        <f>September!G26</f>
        <v>09/30/2023</v>
      </c>
      <c r="C684" s="1" t="str">
        <f>September!H26</f>
        <v>11/19/2005</v>
      </c>
      <c r="D684" s="1" t="str">
        <f>September!I26</f>
        <v>Basic</v>
      </c>
      <c r="E684" s="1" t="str">
        <f>September!J26</f>
        <v>Black</v>
      </c>
    </row>
    <row r="685">
      <c r="A685" s="1" t="str">
        <f>September!F27</f>
        <v>391064</v>
      </c>
      <c r="B685" s="1" t="str">
        <f>September!G27</f>
        <v>09/23/2023</v>
      </c>
      <c r="C685" s="1" t="str">
        <f>September!H27</f>
        <v>9/7/1959</v>
      </c>
      <c r="D685" s="1" t="str">
        <f>September!I27</f>
        <v>Gold</v>
      </c>
      <c r="E685" s="1" t="str">
        <f>September!J27</f>
        <v>Other</v>
      </c>
    </row>
    <row r="686">
      <c r="A686" s="1" t="str">
        <f>September!F28</f>
        <v>662004</v>
      </c>
      <c r="B686" s="1" t="str">
        <f>September!G28</f>
        <v>09/3/2023</v>
      </c>
      <c r="C686" s="1" t="str">
        <f>September!H28</f>
        <v>4/3/2014</v>
      </c>
      <c r="D686" s="1" t="str">
        <f>September!I28</f>
        <v>Platinum</v>
      </c>
      <c r="E686" s="1" t="str">
        <f>September!J28</f>
        <v>Black</v>
      </c>
    </row>
    <row r="687">
      <c r="A687" s="1" t="str">
        <f>September!F29</f>
        <v>339282</v>
      </c>
      <c r="B687" s="1" t="str">
        <f>September!G29</f>
        <v>09/16/2023</v>
      </c>
      <c r="C687" s="1" t="str">
        <f>September!H29</f>
        <v>10/31/1968</v>
      </c>
      <c r="D687" s="1" t="str">
        <f>September!I29</f>
        <v>Basic</v>
      </c>
      <c r="E687" s="1" t="str">
        <f>September!J29</f>
        <v>Other</v>
      </c>
    </row>
    <row r="688">
      <c r="A688" s="1" t="str">
        <f>September!F30</f>
        <v>382180</v>
      </c>
      <c r="B688" s="1" t="str">
        <f>September!G30</f>
        <v>09/16/2023</v>
      </c>
      <c r="C688" s="1" t="str">
        <f>September!H30</f>
        <v>12/14/1975</v>
      </c>
      <c r="D688" s="1" t="str">
        <f>September!I30</f>
        <v>Platinum</v>
      </c>
      <c r="E688" s="1" t="str">
        <f>September!J30</f>
        <v>Other</v>
      </c>
    </row>
    <row r="689">
      <c r="A689" s="1" t="str">
        <f>September!F31</f>
        <v>272178</v>
      </c>
      <c r="B689" s="1" t="str">
        <f>September!G31</f>
        <v>09/28/2023</v>
      </c>
      <c r="C689" s="1" t="str">
        <f>September!H31</f>
        <v>3/3/1985</v>
      </c>
      <c r="D689" s="1" t="str">
        <f>September!I31</f>
        <v>Gold</v>
      </c>
      <c r="E689" s="1" t="str">
        <f>September!J31</f>
        <v>White</v>
      </c>
    </row>
    <row r="690">
      <c r="A690" s="1" t="str">
        <f>September!F32</f>
        <v>861565</v>
      </c>
      <c r="B690" s="1" t="str">
        <f>September!G32</f>
        <v>09/30/2023</v>
      </c>
      <c r="C690" s="1" t="str">
        <f>September!H32</f>
        <v>5/19/1996</v>
      </c>
      <c r="D690" s="1" t="str">
        <f>September!I32</f>
        <v>Basic</v>
      </c>
      <c r="E690" s="1" t="str">
        <f>September!J32</f>
        <v>Black</v>
      </c>
    </row>
    <row r="691">
      <c r="A691" s="1" t="str">
        <f>September!F33</f>
        <v>901811</v>
      </c>
      <c r="B691" s="1" t="str">
        <f>September!G33</f>
        <v>09/18/2023</v>
      </c>
      <c r="C691" s="1" t="str">
        <f>September!H33</f>
        <v>8/28/1968</v>
      </c>
      <c r="D691" s="1" t="str">
        <f>September!I33</f>
        <v>Basic</v>
      </c>
      <c r="E691" s="1" t="str">
        <f>September!J33</f>
        <v>White</v>
      </c>
    </row>
    <row r="692">
      <c r="A692" s="1" t="str">
        <f>September!F34</f>
        <v>451570</v>
      </c>
      <c r="B692" s="1" t="str">
        <f>September!G34</f>
        <v>09/4/2023</v>
      </c>
      <c r="C692" s="1" t="str">
        <f>September!H34</f>
        <v>4/21/1974</v>
      </c>
      <c r="D692" s="1" t="str">
        <f>September!I34</f>
        <v>Gold</v>
      </c>
      <c r="E692" s="1" t="str">
        <f>September!J34</f>
        <v>Other</v>
      </c>
    </row>
    <row r="693">
      <c r="A693" s="1" t="str">
        <f>September!F35</f>
        <v>497693</v>
      </c>
      <c r="B693" s="1" t="str">
        <f>September!G35</f>
        <v>09/19/2023</v>
      </c>
      <c r="C693" s="1" t="str">
        <f>September!H35</f>
        <v>3/14/1970</v>
      </c>
      <c r="D693" s="1" t="str">
        <f>September!I35</f>
        <v>Platinum</v>
      </c>
      <c r="E693" s="1" t="str">
        <f>September!J35</f>
        <v>Other</v>
      </c>
    </row>
    <row r="694">
      <c r="A694" s="1" t="str">
        <f>September!F36</f>
        <v>569494</v>
      </c>
      <c r="B694" s="1" t="str">
        <f>September!G36</f>
        <v>09/1/2023</v>
      </c>
      <c r="C694" s="1" t="str">
        <f>September!H36</f>
        <v>8/30/1976</v>
      </c>
      <c r="D694" s="1" t="str">
        <f>September!I36</f>
        <v>Gold</v>
      </c>
      <c r="E694" s="1" t="str">
        <f>September!J36</f>
        <v>Black</v>
      </c>
    </row>
    <row r="695">
      <c r="A695" s="1" t="str">
        <f>September!F37</f>
        <v>719232</v>
      </c>
      <c r="B695" s="1" t="str">
        <f>September!G37</f>
        <v>09/17/2023</v>
      </c>
      <c r="C695" s="1" t="str">
        <f>September!H37</f>
        <v>3/6/1983</v>
      </c>
      <c r="D695" s="1" t="str">
        <f>September!I37</f>
        <v>Platinum</v>
      </c>
      <c r="E695" s="1" t="str">
        <f>September!J37</f>
        <v>White</v>
      </c>
    </row>
    <row r="696">
      <c r="A696" s="1" t="str">
        <f>September!F38</f>
        <v>158323</v>
      </c>
      <c r="B696" s="1" t="str">
        <f>September!G38</f>
        <v>09/24/2023</v>
      </c>
      <c r="C696" s="1" t="str">
        <f>September!H38</f>
        <v>5/7/1973</v>
      </c>
      <c r="D696" s="1" t="str">
        <f>September!I38</f>
        <v>Platinum</v>
      </c>
      <c r="E696" s="1" t="str">
        <f>September!J38</f>
        <v>White</v>
      </c>
    </row>
    <row r="697">
      <c r="A697" s="1" t="str">
        <f>September!F39</f>
        <v>931023</v>
      </c>
      <c r="B697" s="1" t="str">
        <f>September!G39</f>
        <v>09/7/2023</v>
      </c>
      <c r="C697" s="1" t="str">
        <f>September!H39</f>
        <v>3/5/1985</v>
      </c>
      <c r="D697" s="1" t="str">
        <f>September!I39</f>
        <v>Platinum</v>
      </c>
      <c r="E697" s="1" t="str">
        <f>September!J39</f>
        <v>Black</v>
      </c>
    </row>
    <row r="698">
      <c r="A698" s="1" t="str">
        <f>September!F40</f>
        <v>567696</v>
      </c>
      <c r="B698" s="1" t="str">
        <f>September!G40</f>
        <v>09/9/2023</v>
      </c>
      <c r="C698" s="1" t="str">
        <f>September!H40</f>
        <v>9/17/1943</v>
      </c>
      <c r="D698" s="1" t="str">
        <f>September!I40</f>
        <v>Gold</v>
      </c>
      <c r="E698" s="1" t="str">
        <f>September!J40</f>
        <v>Black</v>
      </c>
    </row>
    <row r="699">
      <c r="A699" s="1" t="str">
        <f>September!F41</f>
        <v>356495</v>
      </c>
      <c r="B699" s="1" t="str">
        <f>September!G41</f>
        <v>09/20/2023</v>
      </c>
      <c r="C699" s="1" t="str">
        <f>September!H41</f>
        <v>2/2/1981</v>
      </c>
      <c r="D699" s="1" t="str">
        <f>September!I41</f>
        <v>Platinum</v>
      </c>
      <c r="E699" s="1" t="str">
        <f>September!J41</f>
        <v>White</v>
      </c>
    </row>
    <row r="700">
      <c r="A700" s="1" t="str">
        <f>September!F42</f>
        <v>314876</v>
      </c>
      <c r="B700" s="1" t="str">
        <f>September!G42</f>
        <v>09/29/2023</v>
      </c>
      <c r="C700" s="1" t="str">
        <f>September!H42</f>
        <v>2/13/2013</v>
      </c>
      <c r="D700" s="1" t="str">
        <f>September!I42</f>
        <v>Basic</v>
      </c>
      <c r="E700" s="1" t="str">
        <f>September!J42</f>
        <v>Asian</v>
      </c>
    </row>
    <row r="701">
      <c r="A701" s="1" t="str">
        <f>September!F43</f>
        <v>148755</v>
      </c>
      <c r="B701" s="1" t="str">
        <f>September!G43</f>
        <v>09/17/2023</v>
      </c>
      <c r="C701" s="1" t="str">
        <f>September!H43</f>
        <v>10/21/1970</v>
      </c>
      <c r="D701" s="1" t="str">
        <f>September!I43</f>
        <v>Platinum</v>
      </c>
      <c r="E701" s="1" t="str">
        <f>September!J43</f>
        <v>White</v>
      </c>
    </row>
    <row r="702">
      <c r="A702" s="1" t="str">
        <f>September!F44</f>
        <v>207622</v>
      </c>
      <c r="B702" s="1" t="str">
        <f>September!G44</f>
        <v>09/22/2023</v>
      </c>
      <c r="C702" s="1" t="str">
        <f>September!H44</f>
        <v>12/29/1959</v>
      </c>
      <c r="D702" s="1" t="str">
        <f>September!I44</f>
        <v>Platinum</v>
      </c>
      <c r="E702" s="1" t="str">
        <f>September!J44</f>
        <v>White</v>
      </c>
    </row>
    <row r="703">
      <c r="A703" s="1" t="str">
        <f>September!F45</f>
        <v>743567</v>
      </c>
      <c r="B703" s="1" t="str">
        <f>September!G45</f>
        <v>09/12/2023</v>
      </c>
      <c r="C703" s="1" t="str">
        <f>September!H45</f>
        <v>9/19/1971</v>
      </c>
      <c r="D703" s="1" t="str">
        <f>September!I45</f>
        <v>Platinum</v>
      </c>
      <c r="E703" s="1" t="str">
        <f>September!J45</f>
        <v>Other</v>
      </c>
    </row>
    <row r="704">
      <c r="A704" s="1" t="str">
        <f>September!F46</f>
        <v>909727</v>
      </c>
      <c r="B704" s="1" t="str">
        <f>September!G46</f>
        <v>09/26/2023</v>
      </c>
      <c r="C704" s="1" t="str">
        <f>September!H46</f>
        <v>1/20/2011</v>
      </c>
      <c r="D704" s="1" t="str">
        <f>September!I46</f>
        <v>Gold</v>
      </c>
      <c r="E704" s="1" t="str">
        <f>September!J46</f>
        <v>Asian</v>
      </c>
    </row>
    <row r="705">
      <c r="A705" s="1" t="str">
        <f>September!F47</f>
        <v>921939</v>
      </c>
      <c r="B705" s="1" t="str">
        <f>September!G47</f>
        <v>09/29/2023</v>
      </c>
      <c r="C705" s="1" t="str">
        <f>September!H47</f>
        <v>2/5/1963</v>
      </c>
      <c r="D705" s="1" t="str">
        <f>September!I47</f>
        <v>Gold</v>
      </c>
      <c r="E705" s="1" t="str">
        <f>September!J47</f>
        <v>Other</v>
      </c>
    </row>
    <row r="706">
      <c r="A706" s="1" t="str">
        <f>September!F48</f>
        <v>660162</v>
      </c>
      <c r="B706" s="1" t="str">
        <f>September!G48</f>
        <v>09/16/2023</v>
      </c>
      <c r="C706" s="1" t="str">
        <f>September!H48</f>
        <v>12/2/2001</v>
      </c>
      <c r="D706" s="1" t="str">
        <f>September!I48</f>
        <v>Platinum</v>
      </c>
      <c r="E706" s="1" t="str">
        <f>September!J48</f>
        <v>White</v>
      </c>
    </row>
    <row r="707">
      <c r="A707" s="1" t="str">
        <f>September!F49</f>
        <v>212028</v>
      </c>
      <c r="B707" s="1" t="str">
        <f>September!G49</f>
        <v>09/8/2023</v>
      </c>
      <c r="C707" s="1" t="str">
        <f>September!H49</f>
        <v>2/19/2008</v>
      </c>
      <c r="D707" s="1" t="str">
        <f>September!I49</f>
        <v>Basic</v>
      </c>
      <c r="E707" s="1" t="str">
        <f>September!J49</f>
        <v>White</v>
      </c>
    </row>
    <row r="708">
      <c r="A708" s="1" t="str">
        <f>September!F50</f>
        <v>314233</v>
      </c>
      <c r="B708" s="1" t="str">
        <f>September!G50</f>
        <v>09/9/2023</v>
      </c>
      <c r="C708" s="1" t="str">
        <f>September!H50</f>
        <v>12/16/2018</v>
      </c>
      <c r="D708" s="1" t="str">
        <f>September!I50</f>
        <v>Platinum</v>
      </c>
      <c r="E708" s="1" t="str">
        <f>September!J50</f>
        <v>Asian</v>
      </c>
    </row>
    <row r="709">
      <c r="A709" s="1" t="str">
        <f>September!F51</f>
        <v>385540</v>
      </c>
      <c r="B709" s="1" t="str">
        <f>September!G51</f>
        <v>09/30/2023</v>
      </c>
      <c r="C709" s="1" t="str">
        <f>September!H51</f>
        <v>2/1/1943</v>
      </c>
      <c r="D709" s="1" t="str">
        <f>September!I51</f>
        <v>Gold</v>
      </c>
      <c r="E709" s="1" t="str">
        <f>September!J51</f>
        <v>White</v>
      </c>
    </row>
    <row r="710">
      <c r="A710" s="1" t="str">
        <f>September!F52</f>
        <v>528074</v>
      </c>
      <c r="B710" s="1" t="str">
        <f>September!G52</f>
        <v>09/13/2023</v>
      </c>
      <c r="C710" s="1" t="str">
        <f>September!H52</f>
        <v>5/26/2013</v>
      </c>
      <c r="D710" s="1" t="str">
        <f>September!I52</f>
        <v>Gold</v>
      </c>
      <c r="E710" s="1" t="str">
        <f>September!J52</f>
        <v>Other</v>
      </c>
    </row>
    <row r="711">
      <c r="A711" s="1" t="str">
        <f>September!F53</f>
        <v>598899</v>
      </c>
      <c r="B711" s="1" t="str">
        <f>September!G53</f>
        <v>09/19/2023</v>
      </c>
      <c r="C711" s="1" t="str">
        <f>September!H53</f>
        <v>1/10/1999</v>
      </c>
      <c r="D711" s="1" t="str">
        <f>September!I53</f>
        <v>Basic</v>
      </c>
      <c r="E711" s="1" t="str">
        <f>September!J53</f>
        <v>Black</v>
      </c>
    </row>
    <row r="712">
      <c r="A712" s="1" t="str">
        <f>September!F54</f>
        <v>740085</v>
      </c>
      <c r="B712" s="1" t="str">
        <f>September!G54</f>
        <v>09/11/2023</v>
      </c>
      <c r="C712" s="1" t="str">
        <f>September!H54</f>
        <v>10/8/2002</v>
      </c>
      <c r="D712" s="1" t="str">
        <f>September!I54</f>
        <v>Platinum</v>
      </c>
      <c r="E712" s="1" t="str">
        <f>September!J54</f>
        <v>Other</v>
      </c>
    </row>
    <row r="713">
      <c r="A713" s="1" t="str">
        <f>September!F55</f>
        <v>325886</v>
      </c>
      <c r="B713" s="1" t="str">
        <f>September!G55</f>
        <v>09/14/2023</v>
      </c>
      <c r="C713" s="1" t="str">
        <f>September!H55</f>
        <v>5/19/1941</v>
      </c>
      <c r="D713" s="1" t="str">
        <f>September!I55</f>
        <v>Gold</v>
      </c>
      <c r="E713" s="1" t="str">
        <f>September!J55</f>
        <v>Asian</v>
      </c>
    </row>
    <row r="714">
      <c r="A714" s="1" t="str">
        <f>September!F56</f>
        <v>368497</v>
      </c>
      <c r="B714" s="1" t="str">
        <f>September!G56</f>
        <v>09/28/2023</v>
      </c>
      <c r="C714" s="1" t="str">
        <f>September!H56</f>
        <v>7/29/1991</v>
      </c>
      <c r="D714" s="1" t="str">
        <f>September!I56</f>
        <v>Basic</v>
      </c>
      <c r="E714" s="1" t="str">
        <f>September!J56</f>
        <v>Other</v>
      </c>
    </row>
    <row r="715">
      <c r="A715" s="1" t="str">
        <f>September!F57</f>
        <v>145716</v>
      </c>
      <c r="B715" s="1" t="str">
        <f>September!G57</f>
        <v>09/5/2023</v>
      </c>
      <c r="C715" s="1" t="str">
        <f>September!H57</f>
        <v>3/20/1995</v>
      </c>
      <c r="D715" s="1" t="str">
        <f>September!I57</f>
        <v>Gold</v>
      </c>
      <c r="E715" s="1" t="str">
        <f>September!J57</f>
        <v>Asian</v>
      </c>
    </row>
    <row r="716">
      <c r="A716" s="1" t="str">
        <f>September!F58</f>
        <v>652834</v>
      </c>
      <c r="B716" s="1" t="str">
        <f>September!G58</f>
        <v>09/10/2023</v>
      </c>
      <c r="C716" s="1" t="str">
        <f>September!H58</f>
        <v>11/19/1982</v>
      </c>
      <c r="D716" s="1" t="str">
        <f>September!I58</f>
        <v>Gold</v>
      </c>
      <c r="E716" s="1" t="str">
        <f>September!J58</f>
        <v>Black</v>
      </c>
    </row>
    <row r="717">
      <c r="A717" s="1" t="str">
        <f>September!F59</f>
        <v>611755</v>
      </c>
      <c r="B717" s="1" t="str">
        <f>September!G59</f>
        <v>09/28/2023</v>
      </c>
      <c r="C717" s="1" t="str">
        <f>September!H59</f>
        <v>2/11/1949</v>
      </c>
      <c r="D717" s="1" t="str">
        <f>September!I59</f>
        <v>Platinum</v>
      </c>
      <c r="E717" s="1" t="str">
        <f>September!J59</f>
        <v>Other</v>
      </c>
    </row>
    <row r="718">
      <c r="A718" s="1" t="str">
        <f>September!F60</f>
        <v>817709</v>
      </c>
      <c r="B718" s="1" t="str">
        <f>September!G60</f>
        <v>09/12/2023</v>
      </c>
      <c r="C718" s="1" t="str">
        <f>September!H60</f>
        <v>11/3/1988</v>
      </c>
      <c r="D718" s="1" t="str">
        <f>September!I60</f>
        <v>Platinum</v>
      </c>
      <c r="E718" s="1" t="str">
        <f>September!J60</f>
        <v>Other</v>
      </c>
    </row>
    <row r="719">
      <c r="A719" s="1" t="str">
        <f>September!F61</f>
        <v>166124</v>
      </c>
      <c r="B719" s="1" t="str">
        <f>September!G61</f>
        <v>09/8/2023</v>
      </c>
      <c r="C719" s="1" t="str">
        <f>September!H61</f>
        <v>5/31/1966</v>
      </c>
      <c r="D719" s="1" t="str">
        <f>September!I61</f>
        <v>Gold</v>
      </c>
      <c r="E719" s="1" t="str">
        <f>September!J61</f>
        <v>Black</v>
      </c>
    </row>
    <row r="720">
      <c r="A720" s="1" t="str">
        <f>September!F62</f>
        <v>939708</v>
      </c>
      <c r="B720" s="1" t="str">
        <f>September!G62</f>
        <v>09/30/2023</v>
      </c>
      <c r="C720" s="1" t="str">
        <f>September!H62</f>
        <v>4/1/1971</v>
      </c>
      <c r="D720" s="1" t="str">
        <f>September!I62</f>
        <v>Basic</v>
      </c>
      <c r="E720" s="1" t="str">
        <f>September!J62</f>
        <v>White</v>
      </c>
    </row>
    <row r="721">
      <c r="A721" s="1" t="str">
        <f>September!F63</f>
        <v>986393</v>
      </c>
      <c r="B721" s="1" t="str">
        <f>September!G63</f>
        <v>09/2/2023</v>
      </c>
      <c r="C721" s="1" t="str">
        <f>September!H63</f>
        <v>12/14/2003</v>
      </c>
      <c r="D721" s="1" t="str">
        <f>September!I63</f>
        <v>Basic</v>
      </c>
      <c r="E721" s="1" t="str">
        <f>September!J63</f>
        <v>Black</v>
      </c>
    </row>
    <row r="722">
      <c r="A722" s="1" t="str">
        <f>September!F64</f>
        <v>228727</v>
      </c>
      <c r="B722" s="1" t="str">
        <f>September!G64</f>
        <v>09/6/2023</v>
      </c>
      <c r="C722" s="1" t="str">
        <f>September!H64</f>
        <v>3/29/1964</v>
      </c>
      <c r="D722" s="1" t="str">
        <f>September!I64</f>
        <v>Platinum</v>
      </c>
      <c r="E722" s="1" t="str">
        <f>September!J64</f>
        <v>Other</v>
      </c>
    </row>
    <row r="723">
      <c r="A723" s="1" t="str">
        <f>September!F65</f>
        <v>808972</v>
      </c>
      <c r="B723" s="1" t="str">
        <f>September!G65</f>
        <v>09/5/2023</v>
      </c>
      <c r="C723" s="1" t="str">
        <f>September!H65</f>
        <v>2/19/2006</v>
      </c>
      <c r="D723" s="1" t="str">
        <f>September!I65</f>
        <v>Platinum</v>
      </c>
      <c r="E723" s="1" t="str">
        <f>September!J65</f>
        <v>Other</v>
      </c>
    </row>
    <row r="724">
      <c r="A724" s="1" t="str">
        <f>September!F66</f>
        <v>997703</v>
      </c>
      <c r="B724" s="1" t="str">
        <f>September!G66</f>
        <v>09/19/2023</v>
      </c>
      <c r="C724" s="1" t="str">
        <f>September!H66</f>
        <v>1/7/1998</v>
      </c>
      <c r="D724" s="1" t="str">
        <f>September!I66</f>
        <v>Platinum</v>
      </c>
      <c r="E724" s="1" t="str">
        <f>September!J66</f>
        <v>Other</v>
      </c>
    </row>
    <row r="725">
      <c r="A725" s="1" t="str">
        <f>September!F67</f>
        <v>534626</v>
      </c>
      <c r="B725" s="1" t="str">
        <f>September!G67</f>
        <v>09/5/2023</v>
      </c>
      <c r="C725" s="1" t="str">
        <f>September!H67</f>
        <v>6/25/1944</v>
      </c>
      <c r="D725" s="1" t="str">
        <f>September!I67</f>
        <v>Platinum</v>
      </c>
      <c r="E725" s="1" t="str">
        <f>September!J67</f>
        <v>White</v>
      </c>
    </row>
    <row r="726">
      <c r="A726" s="1" t="str">
        <f>September!F68</f>
        <v>701002</v>
      </c>
      <c r="B726" s="1" t="str">
        <f>September!G68</f>
        <v>09/25/2023</v>
      </c>
      <c r="C726" s="1" t="str">
        <f>September!H68</f>
        <v>3/2/1989</v>
      </c>
      <c r="D726" s="1" t="str">
        <f>September!I68</f>
        <v>Gold</v>
      </c>
      <c r="E726" s="1" t="str">
        <f>September!J68</f>
        <v>White</v>
      </c>
    </row>
    <row r="727">
      <c r="A727" s="1" t="str">
        <f>September!F69</f>
        <v>232704</v>
      </c>
      <c r="B727" s="1" t="str">
        <f>September!G69</f>
        <v>09/17/2023</v>
      </c>
      <c r="C727" s="1" t="str">
        <f>September!H69</f>
        <v>10/20/1956</v>
      </c>
      <c r="D727" s="1" t="str">
        <f>September!I69</f>
        <v>Gold</v>
      </c>
      <c r="E727" s="1" t="str">
        <f>September!J69</f>
        <v>Black</v>
      </c>
    </row>
    <row r="728">
      <c r="A728" s="1" t="str">
        <f>September!F70</f>
        <v>661243</v>
      </c>
      <c r="B728" s="1" t="str">
        <f>September!G70</f>
        <v>09/17/2023</v>
      </c>
      <c r="C728" s="1" t="str">
        <f>September!H70</f>
        <v>11/17/2011</v>
      </c>
      <c r="D728" s="1" t="str">
        <f>September!I70</f>
        <v>Gold</v>
      </c>
      <c r="E728" s="1" t="str">
        <f>September!J70</f>
        <v>Other</v>
      </c>
    </row>
    <row r="729">
      <c r="A729" s="1" t="str">
        <f>September!F71</f>
        <v>445532</v>
      </c>
      <c r="B729" s="1" t="str">
        <f>September!G71</f>
        <v>09/13/2023</v>
      </c>
      <c r="C729" s="1" t="str">
        <f>September!H71</f>
        <v>10/8/1972</v>
      </c>
      <c r="D729" s="1" t="str">
        <f>September!I71</f>
        <v>Basic</v>
      </c>
      <c r="E729" s="1" t="str">
        <f>September!J71</f>
        <v>Black</v>
      </c>
    </row>
    <row r="730">
      <c r="A730" s="1" t="str">
        <f>September!F72</f>
        <v>307727</v>
      </c>
      <c r="B730" s="1" t="str">
        <f>September!G72</f>
        <v>09/20/2023</v>
      </c>
      <c r="C730" s="1" t="str">
        <f>September!H72</f>
        <v>1/6/1972</v>
      </c>
      <c r="D730" s="1" t="str">
        <f>September!I72</f>
        <v>Basic</v>
      </c>
      <c r="E730" s="1" t="str">
        <f>September!J72</f>
        <v>Other</v>
      </c>
    </row>
    <row r="731">
      <c r="A731" s="1" t="str">
        <f>September!F73</f>
        <v>319379</v>
      </c>
      <c r="B731" s="1" t="str">
        <f>September!G73</f>
        <v>09/15/2023</v>
      </c>
      <c r="C731" s="1" t="str">
        <f>September!H73</f>
        <v>5/6/1974</v>
      </c>
      <c r="D731" s="1" t="str">
        <f>September!I73</f>
        <v>Gold</v>
      </c>
      <c r="E731" s="1" t="str">
        <f>September!J73</f>
        <v>Other</v>
      </c>
    </row>
    <row r="732">
      <c r="A732" s="1" t="str">
        <f>September!F74</f>
        <v>796180</v>
      </c>
      <c r="B732" s="1" t="str">
        <f>September!G74</f>
        <v>09/16/2023</v>
      </c>
      <c r="C732" s="1" t="str">
        <f>September!H74</f>
        <v>3/10/1944</v>
      </c>
      <c r="D732" s="1" t="str">
        <f>September!I74</f>
        <v>Basic</v>
      </c>
      <c r="E732" s="1" t="str">
        <f>September!J74</f>
        <v>Other</v>
      </c>
    </row>
    <row r="733">
      <c r="A733" s="1" t="str">
        <f>September!F75</f>
        <v>720200</v>
      </c>
      <c r="B733" s="1" t="str">
        <f>September!G75</f>
        <v>09/21/2023</v>
      </c>
      <c r="C733" s="1" t="str">
        <f>September!H75</f>
        <v>12/24/1996</v>
      </c>
      <c r="D733" s="1" t="str">
        <f>September!I75</f>
        <v>Basic</v>
      </c>
      <c r="E733" s="1" t="str">
        <f>September!J75</f>
        <v>Other</v>
      </c>
    </row>
    <row r="734">
      <c r="A734" s="1" t="str">
        <f>September!F76</f>
        <v>827538</v>
      </c>
      <c r="B734" s="1" t="str">
        <f>September!G76</f>
        <v>09/2/2023</v>
      </c>
      <c r="C734" s="1" t="str">
        <f>September!H76</f>
        <v>12/21/1982</v>
      </c>
      <c r="D734" s="1" t="str">
        <f>September!I76</f>
        <v>Gold</v>
      </c>
      <c r="E734" s="1" t="str">
        <f>September!J76</f>
        <v>White</v>
      </c>
    </row>
    <row r="735">
      <c r="A735" s="1" t="str">
        <f>September!F77</f>
        <v>734567</v>
      </c>
      <c r="B735" s="1" t="str">
        <f>September!G77</f>
        <v>09/6/2023</v>
      </c>
      <c r="C735" s="1" t="str">
        <f>September!H77</f>
        <v>1/22/1976</v>
      </c>
      <c r="D735" s="1" t="str">
        <f>September!I77</f>
        <v>Basic</v>
      </c>
      <c r="E735" s="1" t="str">
        <f>September!J77</f>
        <v>Black</v>
      </c>
    </row>
    <row r="736">
      <c r="A736" s="1" t="str">
        <f>September!F78</f>
        <v>152219</v>
      </c>
      <c r="B736" s="1" t="str">
        <f>September!G78</f>
        <v>09/3/2023</v>
      </c>
      <c r="C736" s="1" t="str">
        <f>September!H78</f>
        <v>11/18/1968</v>
      </c>
      <c r="D736" s="1" t="str">
        <f>September!I78</f>
        <v>Basic</v>
      </c>
      <c r="E736" s="1" t="str">
        <f>September!J78</f>
        <v>Black</v>
      </c>
    </row>
    <row r="737">
      <c r="A737" s="1" t="str">
        <f>September!F79</f>
        <v>159759</v>
      </c>
      <c r="B737" s="1" t="str">
        <f>September!G79</f>
        <v>09/29/2023</v>
      </c>
      <c r="C737" s="1" t="str">
        <f>September!H79</f>
        <v>4/29/1993</v>
      </c>
      <c r="D737" s="1" t="str">
        <f>September!I79</f>
        <v>Gold</v>
      </c>
      <c r="E737" s="1" t="str">
        <f>September!J79</f>
        <v>Black</v>
      </c>
    </row>
    <row r="738">
      <c r="A738" s="1" t="str">
        <f>September!F80</f>
        <v>155384</v>
      </c>
      <c r="B738" s="1" t="str">
        <f>September!G80</f>
        <v>09/9/2023</v>
      </c>
      <c r="C738" s="1" t="str">
        <f>September!H80</f>
        <v>7/4/1992</v>
      </c>
      <c r="D738" s="1" t="str">
        <f>September!I80</f>
        <v>Platinum</v>
      </c>
      <c r="E738" s="1" t="str">
        <f>September!J80</f>
        <v>Asian</v>
      </c>
    </row>
    <row r="739">
      <c r="A739" s="1" t="str">
        <f>September!F81</f>
        <v>428406</v>
      </c>
      <c r="B739" s="1" t="str">
        <f>September!G81</f>
        <v>09/2/2023</v>
      </c>
      <c r="C739" s="1" t="str">
        <f>September!H81</f>
        <v>8/8/1972</v>
      </c>
      <c r="D739" s="1" t="str">
        <f>September!I81</f>
        <v>Basic</v>
      </c>
      <c r="E739" s="1" t="str">
        <f>September!J81</f>
        <v>Asian</v>
      </c>
    </row>
    <row r="740">
      <c r="A740" s="1" t="str">
        <f>September!F82</f>
        <v>442375</v>
      </c>
      <c r="B740" s="1" t="str">
        <f>September!G82</f>
        <v>09/16/2023</v>
      </c>
      <c r="C740" s="1" t="str">
        <f>September!H82</f>
        <v>6/15/1985</v>
      </c>
      <c r="D740" s="1" t="str">
        <f>September!I82</f>
        <v>Platinum</v>
      </c>
      <c r="E740" s="1" t="str">
        <f>September!J82</f>
        <v>White</v>
      </c>
    </row>
    <row r="741">
      <c r="A741" s="1" t="str">
        <f>September!F83</f>
        <v>826580</v>
      </c>
      <c r="B741" s="1" t="str">
        <f>September!G83</f>
        <v>09/28/2023</v>
      </c>
      <c r="C741" s="1" t="str">
        <f>September!H83</f>
        <v>9/6/1975</v>
      </c>
      <c r="D741" s="1" t="str">
        <f>September!I83</f>
        <v>Gold</v>
      </c>
      <c r="E741" s="1" t="str">
        <f>September!J83</f>
        <v>Black</v>
      </c>
    </row>
    <row r="742">
      <c r="A742" s="1" t="str">
        <f>September!F84</f>
        <v>375840</v>
      </c>
      <c r="B742" s="1" t="str">
        <f>September!G84</f>
        <v>09/17/2023</v>
      </c>
      <c r="C742" s="1" t="str">
        <f>September!H84</f>
        <v>3/8/1963</v>
      </c>
      <c r="D742" s="1" t="str">
        <f>September!I84</f>
        <v>Gold</v>
      </c>
      <c r="E742" s="1" t="str">
        <f>September!J84</f>
        <v>Asian</v>
      </c>
    </row>
    <row r="743">
      <c r="A743" s="1" t="str">
        <f>September!F85</f>
        <v>213378</v>
      </c>
      <c r="B743" s="1" t="str">
        <f>September!G85</f>
        <v>09/15/2023</v>
      </c>
      <c r="C743" s="1" t="str">
        <f>September!H85</f>
        <v>7/3/1987</v>
      </c>
      <c r="D743" s="1" t="str">
        <f>September!I85</f>
        <v>Basic</v>
      </c>
      <c r="E743" s="1" t="str">
        <f>September!J85</f>
        <v>Black</v>
      </c>
    </row>
    <row r="744">
      <c r="A744" s="1" t="str">
        <f>October!F2</f>
        <v>182172</v>
      </c>
      <c r="B744" s="1" t="str">
        <f>October!G2</f>
        <v>10/12/2023</v>
      </c>
      <c r="C744" s="1" t="str">
        <f>October!H2</f>
        <v>11/11/1940</v>
      </c>
      <c r="D744" s="1" t="str">
        <f>October!I2</f>
        <v>Basic</v>
      </c>
      <c r="E744" s="1" t="str">
        <f>October!J2</f>
        <v>Other</v>
      </c>
    </row>
    <row r="745">
      <c r="A745" s="1" t="str">
        <f>October!F3</f>
        <v>293881</v>
      </c>
      <c r="B745" s="1" t="str">
        <f>October!G3</f>
        <v>10/29/2023</v>
      </c>
      <c r="C745" s="1" t="str">
        <f>October!H3</f>
        <v>3/10/1963</v>
      </c>
      <c r="D745" s="1" t="str">
        <f>October!I3</f>
        <v>Basic</v>
      </c>
      <c r="E745" s="1" t="str">
        <f>October!J3</f>
        <v>Black</v>
      </c>
    </row>
    <row r="746">
      <c r="A746" s="1" t="str">
        <f>October!F4</f>
        <v>900970</v>
      </c>
      <c r="B746" s="1" t="str">
        <f>October!G4</f>
        <v>10/7/2023</v>
      </c>
      <c r="C746" s="1" t="str">
        <f>October!H4</f>
        <v>2/27/1985</v>
      </c>
      <c r="D746" s="1" t="str">
        <f>October!I4</f>
        <v>Basic</v>
      </c>
      <c r="E746" s="1" t="str">
        <f>October!J4</f>
        <v>Asian</v>
      </c>
    </row>
    <row r="747">
      <c r="A747" s="1" t="str">
        <f>October!F5</f>
        <v>423343</v>
      </c>
      <c r="B747" s="1" t="str">
        <f>October!G5</f>
        <v>10/27/2023</v>
      </c>
      <c r="C747" s="1" t="str">
        <f>October!H5</f>
        <v>7/25/1947</v>
      </c>
      <c r="D747" s="1" t="str">
        <f>October!I5</f>
        <v>Basic</v>
      </c>
      <c r="E747" s="1" t="str">
        <f>October!J5</f>
        <v>White</v>
      </c>
    </row>
    <row r="748">
      <c r="A748" s="1" t="str">
        <f>October!F6</f>
        <v>562722</v>
      </c>
      <c r="B748" s="1" t="str">
        <f>October!G6</f>
        <v>10/25/2023</v>
      </c>
      <c r="C748" s="1" t="str">
        <f>October!H6</f>
        <v>8/9/2007</v>
      </c>
      <c r="D748" s="1" t="str">
        <f>October!I6</f>
        <v>Platinum</v>
      </c>
      <c r="E748" s="1" t="str">
        <f>October!J6</f>
        <v>Asian</v>
      </c>
    </row>
    <row r="749">
      <c r="A749" s="1" t="str">
        <f>October!F7</f>
        <v>423637</v>
      </c>
      <c r="B749" s="1" t="str">
        <f>October!G7</f>
        <v>10/30/2023</v>
      </c>
      <c r="C749" s="1" t="str">
        <f>October!H7</f>
        <v>1/30/1941</v>
      </c>
      <c r="D749" s="1" t="str">
        <f>October!I7</f>
        <v>Basic</v>
      </c>
      <c r="E749" s="1" t="str">
        <f>October!J7</f>
        <v>Other</v>
      </c>
    </row>
    <row r="750">
      <c r="A750" s="1" t="str">
        <f>October!F8</f>
        <v>937520</v>
      </c>
      <c r="B750" s="1" t="str">
        <f>October!G8</f>
        <v>10/30/2023</v>
      </c>
      <c r="C750" s="1" t="str">
        <f>October!H8</f>
        <v>2/8/1964</v>
      </c>
      <c r="D750" s="1" t="str">
        <f>October!I8</f>
        <v>Gold</v>
      </c>
      <c r="E750" s="1" t="str">
        <f>October!J8</f>
        <v>Other</v>
      </c>
    </row>
    <row r="751">
      <c r="A751" s="1" t="str">
        <f>October!F9</f>
        <v>577581</v>
      </c>
      <c r="B751" s="1" t="str">
        <f>October!G9</f>
        <v>10/22/2023</v>
      </c>
      <c r="C751" s="1" t="str">
        <f>October!H9</f>
        <v>6/22/1960</v>
      </c>
      <c r="D751" s="1" t="str">
        <f>October!I9</f>
        <v>Platinum</v>
      </c>
      <c r="E751" s="1" t="str">
        <f>October!J9</f>
        <v>White</v>
      </c>
    </row>
    <row r="752">
      <c r="A752" s="1" t="str">
        <f>October!F10</f>
        <v>889600</v>
      </c>
      <c r="B752" s="1" t="str">
        <f>October!G10</f>
        <v>10/7/2023</v>
      </c>
      <c r="C752" s="1" t="str">
        <f>October!H10</f>
        <v>6/2/1946</v>
      </c>
      <c r="D752" s="1" t="str">
        <f>October!I10</f>
        <v>Gold</v>
      </c>
      <c r="E752" s="1" t="str">
        <f>October!J10</f>
        <v>Asian</v>
      </c>
    </row>
    <row r="753">
      <c r="A753" s="1" t="str">
        <f>October!F11</f>
        <v>229517</v>
      </c>
      <c r="B753" s="1" t="str">
        <f>October!G11</f>
        <v>10/20/2023</v>
      </c>
      <c r="C753" s="1" t="str">
        <f>October!H11</f>
        <v>5/26/1969</v>
      </c>
      <c r="D753" s="1" t="str">
        <f>October!I11</f>
        <v>Platinum</v>
      </c>
      <c r="E753" s="1" t="str">
        <f>October!J11</f>
        <v>Asian</v>
      </c>
    </row>
    <row r="754">
      <c r="A754" s="1" t="str">
        <f>October!F12</f>
        <v>189309</v>
      </c>
      <c r="B754" s="1" t="str">
        <f>October!G12</f>
        <v>10/24/2023</v>
      </c>
      <c r="C754" s="1" t="str">
        <f>October!H12</f>
        <v>1/29/1985</v>
      </c>
      <c r="D754" s="1" t="str">
        <f>October!I12</f>
        <v>Platinum</v>
      </c>
      <c r="E754" s="1" t="str">
        <f>October!J12</f>
        <v>Other</v>
      </c>
    </row>
    <row r="755">
      <c r="A755" s="1" t="str">
        <f>October!F13</f>
        <v>511264</v>
      </c>
      <c r="B755" s="1" t="str">
        <f>October!G13</f>
        <v>10/27/2023</v>
      </c>
      <c r="C755" s="1" t="str">
        <f>October!H13</f>
        <v>7/7/1957</v>
      </c>
      <c r="D755" s="1" t="str">
        <f>October!I13</f>
        <v>Platinum</v>
      </c>
      <c r="E755" s="1" t="str">
        <f>October!J13</f>
        <v>Other</v>
      </c>
    </row>
    <row r="756">
      <c r="A756" s="1" t="str">
        <f>October!F14</f>
        <v>543527</v>
      </c>
      <c r="B756" s="1" t="str">
        <f>October!G14</f>
        <v>10/12/2023</v>
      </c>
      <c r="C756" s="1" t="str">
        <f>October!H14</f>
        <v>2/23/2013</v>
      </c>
      <c r="D756" s="1" t="str">
        <f>October!I14</f>
        <v>Gold</v>
      </c>
      <c r="E756" s="1" t="str">
        <f>October!J14</f>
        <v>Other</v>
      </c>
    </row>
    <row r="757">
      <c r="A757" s="1" t="str">
        <f>October!F15</f>
        <v>491387</v>
      </c>
      <c r="B757" s="1" t="str">
        <f>October!G15</f>
        <v>10/28/2023</v>
      </c>
      <c r="C757" s="1" t="str">
        <f>October!H15</f>
        <v>11/4/2001</v>
      </c>
      <c r="D757" s="1" t="str">
        <f>October!I15</f>
        <v>Platinum</v>
      </c>
      <c r="E757" s="1" t="str">
        <f>October!J15</f>
        <v>Asian</v>
      </c>
    </row>
    <row r="758">
      <c r="A758" s="1" t="str">
        <f>October!F16</f>
        <v>940125</v>
      </c>
      <c r="B758" s="1" t="str">
        <f>October!G16</f>
        <v>10/2/2023</v>
      </c>
      <c r="C758" s="1" t="str">
        <f>October!H16</f>
        <v>9/22/1949</v>
      </c>
      <c r="D758" s="1" t="str">
        <f>October!I16</f>
        <v>Gold</v>
      </c>
      <c r="E758" s="1" t="str">
        <f>October!J16</f>
        <v>Black</v>
      </c>
    </row>
    <row r="759">
      <c r="A759" s="1" t="str">
        <f>October!F17</f>
        <v>971397</v>
      </c>
      <c r="B759" s="1" t="str">
        <f>October!G17</f>
        <v>10/20/2023</v>
      </c>
      <c r="C759" s="1" t="str">
        <f>October!H17</f>
        <v>10/21/1970</v>
      </c>
      <c r="D759" s="1" t="str">
        <f>October!I17</f>
        <v>Platinum</v>
      </c>
      <c r="E759" s="1" t="str">
        <f>October!J17</f>
        <v>Other</v>
      </c>
    </row>
    <row r="760">
      <c r="A760" s="1" t="str">
        <f>October!F18</f>
        <v>703596</v>
      </c>
      <c r="B760" s="1" t="str">
        <f>October!G18</f>
        <v>10/26/2023</v>
      </c>
      <c r="C760" s="1" t="str">
        <f>October!H18</f>
        <v>6/6/1948</v>
      </c>
      <c r="D760" s="1" t="str">
        <f>October!I18</f>
        <v>Platinum</v>
      </c>
      <c r="E760" s="1" t="str">
        <f>October!J18</f>
        <v>White</v>
      </c>
    </row>
    <row r="761">
      <c r="A761" s="1" t="str">
        <f>October!F19</f>
        <v>172511</v>
      </c>
      <c r="B761" s="1" t="str">
        <f>October!G19</f>
        <v>10/18/2023</v>
      </c>
      <c r="C761" s="1" t="str">
        <f>October!H19</f>
        <v>7/11/1945</v>
      </c>
      <c r="D761" s="1" t="str">
        <f>October!I19</f>
        <v>Gold</v>
      </c>
      <c r="E761" s="1" t="str">
        <f>October!J19</f>
        <v>Other</v>
      </c>
    </row>
    <row r="762">
      <c r="A762" s="1" t="str">
        <f>October!F20</f>
        <v>693419</v>
      </c>
      <c r="B762" s="1" t="str">
        <f>October!G20</f>
        <v>10/26/2023</v>
      </c>
      <c r="C762" s="1" t="str">
        <f>October!H20</f>
        <v>2/27/1950</v>
      </c>
      <c r="D762" s="1" t="str">
        <f>October!I20</f>
        <v>Gold</v>
      </c>
      <c r="E762" s="1" t="str">
        <f>October!J20</f>
        <v>Black</v>
      </c>
    </row>
    <row r="763">
      <c r="A763" s="1" t="str">
        <f>October!F21</f>
        <v>759289</v>
      </c>
      <c r="B763" s="1" t="str">
        <f>October!G21</f>
        <v>10/30/2023</v>
      </c>
      <c r="C763" s="1" t="str">
        <f>October!H21</f>
        <v>8/9/1965</v>
      </c>
      <c r="D763" s="1" t="str">
        <f>October!I21</f>
        <v>Platinum</v>
      </c>
      <c r="E763" s="1" t="str">
        <f>October!J21</f>
        <v>Asian</v>
      </c>
    </row>
    <row r="764">
      <c r="A764" s="1" t="str">
        <f>October!F22</f>
        <v>897320</v>
      </c>
      <c r="B764" s="1" t="str">
        <f>October!G22</f>
        <v>10/31/2023</v>
      </c>
      <c r="C764" s="1" t="str">
        <f>October!H22</f>
        <v>4/13/1978</v>
      </c>
      <c r="D764" s="1" t="str">
        <f>October!I22</f>
        <v>Basic</v>
      </c>
      <c r="E764" s="1" t="str">
        <f>October!J22</f>
        <v>White</v>
      </c>
    </row>
    <row r="765">
      <c r="A765" s="1" t="str">
        <f>October!F23</f>
        <v>762315</v>
      </c>
      <c r="B765" s="1" t="str">
        <f>October!G23</f>
        <v>10/22/2023</v>
      </c>
      <c r="C765" s="1" t="str">
        <f>October!H23</f>
        <v>1/26/1940</v>
      </c>
      <c r="D765" s="1" t="str">
        <f>October!I23</f>
        <v>Gold</v>
      </c>
      <c r="E765" s="1" t="str">
        <f>October!J23</f>
        <v>White</v>
      </c>
    </row>
    <row r="766">
      <c r="A766" s="1" t="str">
        <f>October!F24</f>
        <v>802490</v>
      </c>
      <c r="B766" s="1" t="str">
        <f>October!G24</f>
        <v>10/27/2023</v>
      </c>
      <c r="C766" s="1" t="str">
        <f>October!H24</f>
        <v>5/13/1970</v>
      </c>
      <c r="D766" s="1" t="str">
        <f>October!I24</f>
        <v>Basic</v>
      </c>
      <c r="E766" s="1" t="str">
        <f>October!J24</f>
        <v>Other</v>
      </c>
    </row>
    <row r="767">
      <c r="A767" s="1" t="str">
        <f>October!F25</f>
        <v>701314</v>
      </c>
      <c r="B767" s="1" t="str">
        <f>October!G25</f>
        <v>10/24/2023</v>
      </c>
      <c r="C767" s="1" t="str">
        <f>October!H25</f>
        <v>3/27/1981</v>
      </c>
      <c r="D767" s="1" t="str">
        <f>October!I25</f>
        <v>Platinum</v>
      </c>
      <c r="E767" s="1" t="str">
        <f>October!J25</f>
        <v>White</v>
      </c>
    </row>
    <row r="768">
      <c r="A768" s="1" t="str">
        <f>October!F26</f>
        <v>371271</v>
      </c>
      <c r="B768" s="1" t="str">
        <f>October!G26</f>
        <v>10/25/2023</v>
      </c>
      <c r="C768" s="1" t="str">
        <f>October!H26</f>
        <v>8/28/2001</v>
      </c>
      <c r="D768" s="1" t="str">
        <f>October!I26</f>
        <v>Basic</v>
      </c>
      <c r="E768" s="1" t="str">
        <f>October!J26</f>
        <v>Other</v>
      </c>
    </row>
    <row r="769">
      <c r="A769" s="1" t="str">
        <f>October!F27</f>
        <v>803346</v>
      </c>
      <c r="B769" s="1" t="str">
        <f>October!G27</f>
        <v>10/8/2023</v>
      </c>
      <c r="C769" s="1" t="str">
        <f>October!H27</f>
        <v>9/17/2015</v>
      </c>
      <c r="D769" s="1" t="str">
        <f>October!I27</f>
        <v>Gold</v>
      </c>
      <c r="E769" s="1" t="str">
        <f>October!J27</f>
        <v>Other</v>
      </c>
    </row>
    <row r="770">
      <c r="A770" s="1" t="str">
        <f>October!F28</f>
        <v>677472</v>
      </c>
      <c r="B770" s="1" t="str">
        <f>October!G28</f>
        <v>10/16/2023</v>
      </c>
      <c r="C770" s="1" t="str">
        <f>October!H28</f>
        <v>1/18/1996</v>
      </c>
      <c r="D770" s="1" t="str">
        <f>October!I28</f>
        <v>Gold</v>
      </c>
      <c r="E770" s="1" t="str">
        <f>October!J28</f>
        <v>Black</v>
      </c>
    </row>
    <row r="771">
      <c r="A771" s="1" t="str">
        <f>October!F29</f>
        <v>259388</v>
      </c>
      <c r="B771" s="1" t="str">
        <f>October!G29</f>
        <v>10/15/2023</v>
      </c>
      <c r="C771" s="1" t="str">
        <f>October!H29</f>
        <v>8/29/1984</v>
      </c>
      <c r="D771" s="1" t="str">
        <f>October!I29</f>
        <v>Platinum</v>
      </c>
      <c r="E771" s="1" t="str">
        <f>October!J29</f>
        <v>Black</v>
      </c>
    </row>
    <row r="772">
      <c r="A772" s="1" t="str">
        <f>October!F30</f>
        <v>435013</v>
      </c>
      <c r="B772" s="1" t="str">
        <f>October!G30</f>
        <v>10/18/2023</v>
      </c>
      <c r="C772" s="1" t="str">
        <f>October!H30</f>
        <v>9/1/1998</v>
      </c>
      <c r="D772" s="1" t="str">
        <f>October!I30</f>
        <v>Basic</v>
      </c>
      <c r="E772" s="1" t="str">
        <f>October!J30</f>
        <v>Black</v>
      </c>
    </row>
    <row r="773">
      <c r="A773" s="1" t="str">
        <f>October!F31</f>
        <v>832494</v>
      </c>
      <c r="B773" s="1" t="str">
        <f>October!G31</f>
        <v>10/16/2023</v>
      </c>
      <c r="C773" s="1" t="str">
        <f>October!H31</f>
        <v>6/23/1964</v>
      </c>
      <c r="D773" s="1" t="str">
        <f>October!I31</f>
        <v>Gold</v>
      </c>
      <c r="E773" s="1" t="str">
        <f>October!J31</f>
        <v>White</v>
      </c>
    </row>
    <row r="774">
      <c r="A774" s="1" t="str">
        <f>October!F32</f>
        <v>790504</v>
      </c>
      <c r="B774" s="1" t="str">
        <f>October!G32</f>
        <v>10/4/2023</v>
      </c>
      <c r="C774" s="1" t="str">
        <f>October!H32</f>
        <v>6/13/1955</v>
      </c>
      <c r="D774" s="1" t="str">
        <f>October!I32</f>
        <v>Platinum</v>
      </c>
      <c r="E774" s="1" t="str">
        <f>October!J32</f>
        <v>White</v>
      </c>
    </row>
    <row r="775">
      <c r="A775" s="1" t="str">
        <f>October!F33</f>
        <v>691430</v>
      </c>
      <c r="B775" s="1" t="str">
        <f>October!G33</f>
        <v>10/11/2023</v>
      </c>
      <c r="C775" s="1" t="str">
        <f>October!H33</f>
        <v>4/25/1988</v>
      </c>
      <c r="D775" s="1" t="str">
        <f>October!I33</f>
        <v>Platinum</v>
      </c>
      <c r="E775" s="1" t="str">
        <f>October!J33</f>
        <v>Black</v>
      </c>
    </row>
    <row r="776">
      <c r="A776" s="1" t="str">
        <f>October!F34</f>
        <v>917106</v>
      </c>
      <c r="B776" s="1" t="str">
        <f>October!G34</f>
        <v>10/31/2023</v>
      </c>
      <c r="C776" s="1" t="str">
        <f>October!H34</f>
        <v>10/16/1942</v>
      </c>
      <c r="D776" s="1" t="str">
        <f>October!I34</f>
        <v>Platinum</v>
      </c>
      <c r="E776" s="1" t="str">
        <f>October!J34</f>
        <v>Asian</v>
      </c>
    </row>
    <row r="777">
      <c r="A777" s="1" t="str">
        <f>October!F35</f>
        <v>762634</v>
      </c>
      <c r="B777" s="1" t="str">
        <f>October!G35</f>
        <v>10/19/2023</v>
      </c>
      <c r="C777" s="1" t="str">
        <f>October!H35</f>
        <v>1/14/1980</v>
      </c>
      <c r="D777" s="1" t="str">
        <f>October!I35</f>
        <v>Platinum</v>
      </c>
      <c r="E777" s="1" t="str">
        <f>October!J35</f>
        <v>White</v>
      </c>
    </row>
    <row r="778">
      <c r="A778" s="1" t="str">
        <f>October!F36</f>
        <v>125311</v>
      </c>
      <c r="B778" s="1" t="str">
        <f>October!G36</f>
        <v>10/1/2023</v>
      </c>
      <c r="C778" s="1" t="str">
        <f>October!H36</f>
        <v>5/1/2008</v>
      </c>
      <c r="D778" s="1" t="str">
        <f>October!I36</f>
        <v>Basic</v>
      </c>
      <c r="E778" s="1" t="str">
        <f>October!J36</f>
        <v>Black</v>
      </c>
    </row>
    <row r="779">
      <c r="A779" s="1" t="str">
        <f>October!F37</f>
        <v>182986</v>
      </c>
      <c r="B779" s="1" t="str">
        <f>October!G37</f>
        <v>10/23/2023</v>
      </c>
      <c r="C779" s="1" t="str">
        <f>October!H37</f>
        <v>1/1/2006</v>
      </c>
      <c r="D779" s="1" t="str">
        <f>October!I37</f>
        <v>Basic</v>
      </c>
      <c r="E779" s="1" t="str">
        <f>October!J37</f>
        <v>Other</v>
      </c>
    </row>
    <row r="780">
      <c r="A780" s="1" t="str">
        <f>October!F38</f>
        <v>346957</v>
      </c>
      <c r="B780" s="1" t="str">
        <f>October!G38</f>
        <v>10/14/2023</v>
      </c>
      <c r="C780" s="1" t="str">
        <f>October!H38</f>
        <v>12/29/1990</v>
      </c>
      <c r="D780" s="1" t="str">
        <f>October!I38</f>
        <v>Platinum</v>
      </c>
      <c r="E780" s="1" t="str">
        <f>October!J38</f>
        <v>Asian</v>
      </c>
    </row>
    <row r="781">
      <c r="A781" s="1" t="str">
        <f>October!F39</f>
        <v>942724</v>
      </c>
      <c r="B781" s="1" t="str">
        <f>October!G39</f>
        <v>10/9/2023</v>
      </c>
      <c r="C781" s="1" t="str">
        <f>October!H39</f>
        <v>5/23/1979</v>
      </c>
      <c r="D781" s="1" t="str">
        <f>October!I39</f>
        <v>Platinum</v>
      </c>
      <c r="E781" s="1" t="str">
        <f>October!J39</f>
        <v>Black</v>
      </c>
    </row>
    <row r="782">
      <c r="A782" s="1" t="str">
        <f>October!F40</f>
        <v>503279</v>
      </c>
      <c r="B782" s="1" t="str">
        <f>October!G40</f>
        <v>10/17/2023</v>
      </c>
      <c r="C782" s="1" t="str">
        <f>October!H40</f>
        <v>4/13/1967</v>
      </c>
      <c r="D782" s="1" t="str">
        <f>October!I40</f>
        <v>Gold</v>
      </c>
      <c r="E782" s="1" t="str">
        <f>October!J40</f>
        <v>White</v>
      </c>
    </row>
    <row r="783">
      <c r="A783" s="1" t="str">
        <f>October!F41</f>
        <v>217539</v>
      </c>
      <c r="B783" s="1" t="str">
        <f>October!G41</f>
        <v>10/29/2023</v>
      </c>
      <c r="C783" s="1" t="str">
        <f>October!H41</f>
        <v>7/3/1954</v>
      </c>
      <c r="D783" s="1" t="str">
        <f>October!I41</f>
        <v>Basic</v>
      </c>
      <c r="E783" s="1" t="str">
        <f>October!J41</f>
        <v>White</v>
      </c>
    </row>
    <row r="784">
      <c r="A784" s="1" t="str">
        <f>October!F42</f>
        <v>701647</v>
      </c>
      <c r="B784" s="1" t="str">
        <f>October!G42</f>
        <v>10/22/2023</v>
      </c>
      <c r="C784" s="1" t="str">
        <f>October!H42</f>
        <v>4/27/1954</v>
      </c>
      <c r="D784" s="1" t="str">
        <f>October!I42</f>
        <v>Platinum</v>
      </c>
      <c r="E784" s="1" t="str">
        <f>October!J42</f>
        <v>Other</v>
      </c>
    </row>
    <row r="785">
      <c r="A785" s="1" t="str">
        <f>October!F43</f>
        <v>415762</v>
      </c>
      <c r="B785" s="1" t="str">
        <f>October!G43</f>
        <v>10/20/2023</v>
      </c>
      <c r="C785" s="1" t="str">
        <f>October!H43</f>
        <v>11/3/1949</v>
      </c>
      <c r="D785" s="1" t="str">
        <f>October!I43</f>
        <v>Basic</v>
      </c>
      <c r="E785" s="1" t="str">
        <f>October!J43</f>
        <v>Black</v>
      </c>
    </row>
    <row r="786">
      <c r="A786" s="1" t="str">
        <f>October!F44</f>
        <v>769158</v>
      </c>
      <c r="B786" s="1" t="str">
        <f>October!G44</f>
        <v>10/12/2023</v>
      </c>
      <c r="C786" s="1" t="str">
        <f>October!H44</f>
        <v>3/9/1996</v>
      </c>
      <c r="D786" s="1" t="str">
        <f>October!I44</f>
        <v>Basic</v>
      </c>
      <c r="E786" s="1" t="str">
        <f>October!J44</f>
        <v>Asian</v>
      </c>
    </row>
    <row r="787">
      <c r="A787" s="1" t="str">
        <f>October!F45</f>
        <v>194394</v>
      </c>
      <c r="B787" s="1" t="str">
        <f>October!G45</f>
        <v>10/16/2023</v>
      </c>
      <c r="C787" s="1" t="str">
        <f>October!H45</f>
        <v>6/18/1991</v>
      </c>
      <c r="D787" s="1" t="str">
        <f>October!I45</f>
        <v>Gold</v>
      </c>
      <c r="E787" s="1" t="str">
        <f>October!J45</f>
        <v>Asian</v>
      </c>
    </row>
    <row r="788">
      <c r="A788" s="1" t="str">
        <f>October!F46</f>
        <v>202437</v>
      </c>
      <c r="B788" s="1" t="str">
        <f>October!G46</f>
        <v>10/29/2023</v>
      </c>
      <c r="C788" s="1" t="str">
        <f>October!H46</f>
        <v>12/30/1976</v>
      </c>
      <c r="D788" s="1" t="str">
        <f>October!I46</f>
        <v>Platinum</v>
      </c>
      <c r="E788" s="1" t="str">
        <f>October!J46</f>
        <v>Other</v>
      </c>
    </row>
    <row r="789">
      <c r="A789" s="1" t="str">
        <f>October!F47</f>
        <v>494925</v>
      </c>
      <c r="B789" s="1" t="str">
        <f>October!G47</f>
        <v>10/17/2023</v>
      </c>
      <c r="C789" s="1" t="str">
        <f>October!H47</f>
        <v>11/29/1957</v>
      </c>
      <c r="D789" s="1" t="str">
        <f>October!I47</f>
        <v>Platinum</v>
      </c>
      <c r="E789" s="1" t="str">
        <f>October!J47</f>
        <v>Asian</v>
      </c>
    </row>
    <row r="790">
      <c r="A790" s="1" t="str">
        <f>October!F48</f>
        <v>341542</v>
      </c>
      <c r="B790" s="1" t="str">
        <f>October!G48</f>
        <v>10/3/2023</v>
      </c>
      <c r="C790" s="1" t="str">
        <f>October!H48</f>
        <v>12/26/1984</v>
      </c>
      <c r="D790" s="1" t="str">
        <f>October!I48</f>
        <v>Gold</v>
      </c>
      <c r="E790" s="1" t="str">
        <f>October!J48</f>
        <v>Black</v>
      </c>
    </row>
    <row r="791">
      <c r="A791" s="1" t="str">
        <f>October!F49</f>
        <v>559179</v>
      </c>
      <c r="B791" s="1" t="str">
        <f>October!G49</f>
        <v>10/22/2023</v>
      </c>
      <c r="C791" s="1" t="str">
        <f>October!H49</f>
        <v>2/18/1979</v>
      </c>
      <c r="D791" s="1" t="str">
        <f>October!I49</f>
        <v>Basic</v>
      </c>
      <c r="E791" s="1" t="str">
        <f>October!J49</f>
        <v>Other</v>
      </c>
    </row>
    <row r="792">
      <c r="A792" s="1" t="str">
        <f>October!F50</f>
        <v>625189</v>
      </c>
      <c r="B792" s="1" t="str">
        <f>October!G50</f>
        <v>10/24/2023</v>
      </c>
      <c r="C792" s="1" t="str">
        <f>October!H50</f>
        <v>7/19/1985</v>
      </c>
      <c r="D792" s="1" t="str">
        <f>October!I50</f>
        <v>Gold</v>
      </c>
      <c r="E792" s="1" t="str">
        <f>October!J50</f>
        <v>Other</v>
      </c>
    </row>
    <row r="793">
      <c r="A793" s="1" t="str">
        <f>October!F51</f>
        <v>933326</v>
      </c>
      <c r="B793" s="1" t="str">
        <f>October!G51</f>
        <v>10/5/2023</v>
      </c>
      <c r="C793" s="1" t="str">
        <f>October!H51</f>
        <v>10/6/2010</v>
      </c>
      <c r="D793" s="1" t="str">
        <f>October!I51</f>
        <v>Gold</v>
      </c>
      <c r="E793" s="1" t="str">
        <f>October!J51</f>
        <v>Other</v>
      </c>
    </row>
    <row r="794">
      <c r="A794" s="1" t="str">
        <f>October!F52</f>
        <v>507932</v>
      </c>
      <c r="B794" s="1" t="str">
        <f>October!G52</f>
        <v>10/29/2023</v>
      </c>
      <c r="C794" s="1" t="str">
        <f>October!H52</f>
        <v>8/15/2005</v>
      </c>
      <c r="D794" s="1" t="str">
        <f>October!I52</f>
        <v>Platinum</v>
      </c>
      <c r="E794" s="1" t="str">
        <f>October!J52</f>
        <v>Asian</v>
      </c>
    </row>
    <row r="795">
      <c r="A795" s="1" t="str">
        <f>October!F53</f>
        <v>644707</v>
      </c>
      <c r="B795" s="1" t="str">
        <f>October!G53</f>
        <v>10/3/2023</v>
      </c>
      <c r="C795" s="1" t="str">
        <f>October!H53</f>
        <v>7/5/1995</v>
      </c>
      <c r="D795" s="1" t="str">
        <f>October!I53</f>
        <v>Platinum</v>
      </c>
      <c r="E795" s="1" t="str">
        <f>October!J53</f>
        <v>White</v>
      </c>
    </row>
    <row r="796">
      <c r="A796" s="1" t="str">
        <f>October!F54</f>
        <v>485637</v>
      </c>
      <c r="B796" s="1" t="str">
        <f>October!G54</f>
        <v>10/9/2023</v>
      </c>
      <c r="C796" s="1" t="str">
        <f>October!H54</f>
        <v>10/20/2001</v>
      </c>
      <c r="D796" s="1" t="str">
        <f>October!I54</f>
        <v>Basic</v>
      </c>
      <c r="E796" s="1" t="str">
        <f>October!J54</f>
        <v>White</v>
      </c>
    </row>
    <row r="797">
      <c r="A797" s="1" t="str">
        <f>October!F55</f>
        <v>142674</v>
      </c>
      <c r="B797" s="1" t="str">
        <f>October!G55</f>
        <v>10/27/2023</v>
      </c>
      <c r="C797" s="1" t="str">
        <f>October!H55</f>
        <v>9/2/1987</v>
      </c>
      <c r="D797" s="1" t="str">
        <f>October!I55</f>
        <v>Basic</v>
      </c>
      <c r="E797" s="1" t="str">
        <f>October!J55</f>
        <v>Other</v>
      </c>
    </row>
    <row r="798">
      <c r="A798" s="1" t="str">
        <f>October!F56</f>
        <v>540772</v>
      </c>
      <c r="B798" s="1" t="str">
        <f>October!G56</f>
        <v>10/1/2023</v>
      </c>
      <c r="C798" s="1" t="str">
        <f>October!H56</f>
        <v>5/15/1957</v>
      </c>
      <c r="D798" s="1" t="str">
        <f>October!I56</f>
        <v>Gold</v>
      </c>
      <c r="E798" s="1" t="str">
        <f>October!J56</f>
        <v>Black</v>
      </c>
    </row>
    <row r="799">
      <c r="A799" s="1" t="str">
        <f>October!F57</f>
        <v>963545</v>
      </c>
      <c r="B799" s="1" t="str">
        <f>October!G57</f>
        <v>10/15/2023</v>
      </c>
      <c r="C799" s="1" t="str">
        <f>October!H57</f>
        <v>12/19/2001</v>
      </c>
      <c r="D799" s="1" t="str">
        <f>October!I57</f>
        <v>Basic</v>
      </c>
      <c r="E799" s="1" t="str">
        <f>October!J57</f>
        <v>White</v>
      </c>
    </row>
    <row r="800">
      <c r="A800" s="1" t="str">
        <f>October!F58</f>
        <v>919938</v>
      </c>
      <c r="B800" s="1" t="str">
        <f>October!G58</f>
        <v>10/31/2023</v>
      </c>
      <c r="C800" s="1" t="str">
        <f>October!H58</f>
        <v>12/6/1995</v>
      </c>
      <c r="D800" s="1" t="str">
        <f>October!I58</f>
        <v>Gold</v>
      </c>
      <c r="E800" s="1" t="str">
        <f>October!J58</f>
        <v>White</v>
      </c>
    </row>
    <row r="801">
      <c r="A801" s="1" t="str">
        <f>October!F59</f>
        <v>167545</v>
      </c>
      <c r="B801" s="1" t="str">
        <f>October!G59</f>
        <v>10/23/2023</v>
      </c>
      <c r="C801" s="1" t="str">
        <f>October!H59</f>
        <v>3/15/1987</v>
      </c>
      <c r="D801" s="1" t="str">
        <f>October!I59</f>
        <v>Platinum</v>
      </c>
      <c r="E801" s="1" t="str">
        <f>October!J59</f>
        <v>White</v>
      </c>
    </row>
    <row r="802">
      <c r="A802" s="1" t="str">
        <f>October!F60</f>
        <v>439709</v>
      </c>
      <c r="B802" s="1" t="str">
        <f>October!G60</f>
        <v>10/5/2023</v>
      </c>
      <c r="C802" s="1" t="str">
        <f>October!H60</f>
        <v>8/21/2009</v>
      </c>
      <c r="D802" s="1" t="str">
        <f>October!I60</f>
        <v>Basic</v>
      </c>
      <c r="E802" s="1" t="str">
        <f>October!J60</f>
        <v>Other</v>
      </c>
    </row>
    <row r="803">
      <c r="A803" s="1" t="str">
        <f>October!F61</f>
        <v>158058</v>
      </c>
      <c r="B803" s="1" t="str">
        <f>October!G61</f>
        <v>10/28/2023</v>
      </c>
      <c r="C803" s="1" t="str">
        <f>October!H61</f>
        <v>2/7/1955</v>
      </c>
      <c r="D803" s="1" t="str">
        <f>October!I61</f>
        <v>Platinum</v>
      </c>
      <c r="E803" s="1" t="str">
        <f>October!J61</f>
        <v>Other</v>
      </c>
    </row>
    <row r="804">
      <c r="A804" s="1" t="str">
        <f>October!F62</f>
        <v>165263</v>
      </c>
      <c r="B804" s="1" t="str">
        <f>October!G62</f>
        <v>10/26/2023</v>
      </c>
      <c r="C804" s="1" t="str">
        <f>October!H62</f>
        <v>10/15/1970</v>
      </c>
      <c r="D804" s="1" t="str">
        <f>October!I62</f>
        <v>Platinum</v>
      </c>
      <c r="E804" s="1" t="str">
        <f>October!J62</f>
        <v>Other</v>
      </c>
    </row>
    <row r="805">
      <c r="A805" s="1" t="str">
        <f>October!F63</f>
        <v>234964</v>
      </c>
      <c r="B805" s="1" t="str">
        <f>October!G63</f>
        <v>10/10/2023</v>
      </c>
      <c r="C805" s="1" t="str">
        <f>October!H63</f>
        <v>9/14/1962</v>
      </c>
      <c r="D805" s="1" t="str">
        <f>October!I63</f>
        <v>Platinum</v>
      </c>
      <c r="E805" s="1" t="str">
        <f>October!J63</f>
        <v>Other</v>
      </c>
    </row>
    <row r="806">
      <c r="A806" s="1" t="str">
        <f>October!F64</f>
        <v>804299</v>
      </c>
      <c r="B806" s="1" t="str">
        <f>October!G64</f>
        <v>10/6/2023</v>
      </c>
      <c r="C806" s="1" t="str">
        <f>October!H64</f>
        <v>11/4/1957</v>
      </c>
      <c r="D806" s="1" t="str">
        <f>October!I64</f>
        <v>Gold</v>
      </c>
      <c r="E806" s="1" t="str">
        <f>October!J64</f>
        <v>Other</v>
      </c>
    </row>
    <row r="807">
      <c r="A807" s="1" t="str">
        <f>October!F65</f>
        <v>848472</v>
      </c>
      <c r="B807" s="1" t="str">
        <f>October!G65</f>
        <v>10/18/2023</v>
      </c>
      <c r="C807" s="1" t="str">
        <f>October!H65</f>
        <v>10/20/2009</v>
      </c>
      <c r="D807" s="1" t="str">
        <f>October!I65</f>
        <v>Gold</v>
      </c>
      <c r="E807" s="1" t="str">
        <f>October!J65</f>
        <v>Other</v>
      </c>
    </row>
    <row r="808">
      <c r="A808" s="1" t="str">
        <f>October!F66</f>
        <v>175875</v>
      </c>
      <c r="B808" s="1" t="str">
        <f>October!G66</f>
        <v>10/10/2023</v>
      </c>
      <c r="C808" s="1" t="str">
        <f>October!H66</f>
        <v>11/19/1970</v>
      </c>
      <c r="D808" s="1" t="str">
        <f>October!I66</f>
        <v>Gold</v>
      </c>
      <c r="E808" s="1" t="str">
        <f>October!J66</f>
        <v>Asian</v>
      </c>
    </row>
    <row r="809">
      <c r="A809" s="1" t="str">
        <f>October!F67</f>
        <v>673020</v>
      </c>
      <c r="B809" s="1" t="str">
        <f>October!G67</f>
        <v>10/4/2023</v>
      </c>
      <c r="C809" s="1" t="str">
        <f>October!H67</f>
        <v>11/30/1979</v>
      </c>
      <c r="D809" s="1" t="str">
        <f>October!I67</f>
        <v>Platinum</v>
      </c>
      <c r="E809" s="1" t="str">
        <f>October!J67</f>
        <v>Other</v>
      </c>
    </row>
    <row r="810">
      <c r="A810" s="1" t="str">
        <f>October!F68</f>
        <v>213994</v>
      </c>
      <c r="B810" s="1" t="str">
        <f>October!G68</f>
        <v>10/29/2023</v>
      </c>
      <c r="C810" s="1" t="str">
        <f>October!H68</f>
        <v>4/16/1961</v>
      </c>
      <c r="D810" s="1" t="str">
        <f>October!I68</f>
        <v>Gold</v>
      </c>
      <c r="E810" s="1" t="str">
        <f>October!J68</f>
        <v>White</v>
      </c>
    </row>
    <row r="811">
      <c r="A811" s="1" t="str">
        <f>October!F69</f>
        <v>851016</v>
      </c>
      <c r="B811" s="1" t="str">
        <f>October!G69</f>
        <v>10/18/2023</v>
      </c>
      <c r="C811" s="1" t="str">
        <f>October!H69</f>
        <v>1/18/2010</v>
      </c>
      <c r="D811" s="1" t="str">
        <f>October!I69</f>
        <v>Platinum</v>
      </c>
      <c r="E811" s="1" t="str">
        <f>October!J69</f>
        <v>White</v>
      </c>
    </row>
    <row r="812">
      <c r="A812" s="1" t="str">
        <f>October!F70</f>
        <v>825555</v>
      </c>
      <c r="B812" s="1" t="str">
        <f>October!G70</f>
        <v>10/29/2023</v>
      </c>
      <c r="C812" s="1" t="str">
        <f>October!H70</f>
        <v>11/10/2019</v>
      </c>
      <c r="D812" s="1" t="str">
        <f>October!I70</f>
        <v>Platinum</v>
      </c>
      <c r="E812" s="1" t="str">
        <f>October!J70</f>
        <v>Asian</v>
      </c>
    </row>
    <row r="813">
      <c r="A813" s="1" t="str">
        <f>October!F71</f>
        <v>388013</v>
      </c>
      <c r="B813" s="1" t="str">
        <f>October!G71</f>
        <v>10/27/2023</v>
      </c>
      <c r="C813" s="1" t="str">
        <f>October!H71</f>
        <v>7/13/2018</v>
      </c>
      <c r="D813" s="1" t="str">
        <f>October!I71</f>
        <v>Gold</v>
      </c>
      <c r="E813" s="1" t="str">
        <f>October!J71</f>
        <v>Black</v>
      </c>
    </row>
    <row r="814">
      <c r="A814" s="1" t="str">
        <f>October!F72</f>
        <v>285733</v>
      </c>
      <c r="B814" s="1" t="str">
        <f>October!G72</f>
        <v>10/16/2023</v>
      </c>
      <c r="C814" s="1" t="str">
        <f>October!H72</f>
        <v>5/19/2000</v>
      </c>
      <c r="D814" s="1" t="str">
        <f>October!I72</f>
        <v>Gold</v>
      </c>
      <c r="E814" s="1" t="str">
        <f>October!J72</f>
        <v>Black</v>
      </c>
    </row>
    <row r="815">
      <c r="A815" s="1" t="str">
        <f>October!F73</f>
        <v>352431</v>
      </c>
      <c r="B815" s="1" t="str">
        <f>October!G73</f>
        <v>10/31/2023</v>
      </c>
      <c r="C815" s="1" t="str">
        <f>October!H73</f>
        <v>12/2/1970</v>
      </c>
      <c r="D815" s="1" t="str">
        <f>October!I73</f>
        <v>Basic</v>
      </c>
      <c r="E815" s="1" t="str">
        <f>October!J73</f>
        <v>Asian</v>
      </c>
    </row>
    <row r="816">
      <c r="A816" s="1" t="str">
        <f>October!F74</f>
        <v>918029</v>
      </c>
      <c r="B816" s="1" t="str">
        <f>October!G74</f>
        <v>10/28/2023</v>
      </c>
      <c r="C816" s="1" t="str">
        <f>October!H74</f>
        <v>11/21/1969</v>
      </c>
      <c r="D816" s="1" t="str">
        <f>October!I74</f>
        <v>Gold</v>
      </c>
      <c r="E816" s="1" t="str">
        <f>October!J74</f>
        <v>Black</v>
      </c>
    </row>
    <row r="817">
      <c r="A817" s="1" t="str">
        <f>October!F75</f>
        <v>682556</v>
      </c>
      <c r="B817" s="1" t="str">
        <f>October!G75</f>
        <v>10/7/2023</v>
      </c>
      <c r="C817" s="1" t="str">
        <f>October!H75</f>
        <v>9/30/1966</v>
      </c>
      <c r="D817" s="1" t="str">
        <f>October!I75</f>
        <v>Gold</v>
      </c>
      <c r="E817" s="1" t="str">
        <f>October!J75</f>
        <v>Black</v>
      </c>
    </row>
    <row r="818">
      <c r="A818" s="1" t="str">
        <f>October!F76</f>
        <v>405774</v>
      </c>
      <c r="B818" s="1" t="str">
        <f>October!G76</f>
        <v>10/5/2023</v>
      </c>
      <c r="C818" s="1" t="str">
        <f>October!H76</f>
        <v>8/11/1993</v>
      </c>
      <c r="D818" s="1" t="str">
        <f>October!I76</f>
        <v>Gold</v>
      </c>
      <c r="E818" s="1" t="str">
        <f>October!J76</f>
        <v>Asian</v>
      </c>
    </row>
    <row r="819">
      <c r="A819" s="1" t="str">
        <f>October!F77</f>
        <v>920547</v>
      </c>
      <c r="B819" s="1" t="str">
        <f>October!G77</f>
        <v>10/29/2023</v>
      </c>
      <c r="C819" s="1" t="str">
        <f>October!H77</f>
        <v>12/28/1943</v>
      </c>
      <c r="D819" s="1" t="str">
        <f>October!I77</f>
        <v>Basic</v>
      </c>
      <c r="E819" s="1" t="str">
        <f>October!J77</f>
        <v>Asian</v>
      </c>
    </row>
    <row r="820">
      <c r="A820" s="1" t="str">
        <f>October!F78</f>
        <v>973755</v>
      </c>
      <c r="B820" s="1" t="str">
        <f>October!G78</f>
        <v>10/10/2023</v>
      </c>
      <c r="C820" s="1" t="str">
        <f>October!H78</f>
        <v>1/12/1998</v>
      </c>
      <c r="D820" s="1" t="str">
        <f>October!I78</f>
        <v>Platinum</v>
      </c>
      <c r="E820" s="1" t="str">
        <f>October!J78</f>
        <v>Black</v>
      </c>
    </row>
    <row r="821">
      <c r="A821" s="1" t="str">
        <f>October!F79</f>
        <v>261886</v>
      </c>
      <c r="B821" s="1" t="str">
        <f>October!G79</f>
        <v>10/13/2023</v>
      </c>
      <c r="C821" s="1" t="str">
        <f>October!H79</f>
        <v>5/23/1974</v>
      </c>
      <c r="D821" s="1" t="str">
        <f>October!I79</f>
        <v>Basic</v>
      </c>
      <c r="E821" s="1" t="str">
        <f>October!J79</f>
        <v>Asian</v>
      </c>
    </row>
    <row r="822">
      <c r="A822" s="1" t="str">
        <f>October!F80</f>
        <v>551306</v>
      </c>
      <c r="B822" s="1" t="str">
        <f>October!G80</f>
        <v>10/3/2023</v>
      </c>
      <c r="C822" s="1" t="str">
        <f>October!H80</f>
        <v>2/6/2008</v>
      </c>
      <c r="D822" s="1" t="str">
        <f>October!I80</f>
        <v>Gold</v>
      </c>
      <c r="E822" s="1" t="str">
        <f>October!J80</f>
        <v>White</v>
      </c>
    </row>
    <row r="823">
      <c r="A823" s="1" t="str">
        <f>October!F81</f>
        <v>326497</v>
      </c>
      <c r="B823" s="1" t="str">
        <f>October!G81</f>
        <v>10/11/2023</v>
      </c>
      <c r="C823" s="1" t="str">
        <f>October!H81</f>
        <v>4/24/2013</v>
      </c>
      <c r="D823" s="1" t="str">
        <f>October!I81</f>
        <v>Basic</v>
      </c>
      <c r="E823" s="1" t="str">
        <f>October!J81</f>
        <v>Black</v>
      </c>
    </row>
    <row r="824">
      <c r="A824" s="1" t="str">
        <f>October!F82</f>
        <v>639158</v>
      </c>
      <c r="B824" s="1" t="str">
        <f>October!G82</f>
        <v>10/28/2023</v>
      </c>
      <c r="C824" s="1" t="str">
        <f>October!H82</f>
        <v>9/29/1989</v>
      </c>
      <c r="D824" s="1" t="str">
        <f>October!I82</f>
        <v>Platinum</v>
      </c>
      <c r="E824" s="1" t="str">
        <f>October!J82</f>
        <v>White</v>
      </c>
    </row>
    <row r="825">
      <c r="A825" s="1" t="str">
        <f>October!F83</f>
        <v>401721</v>
      </c>
      <c r="B825" s="1" t="str">
        <f>October!G83</f>
        <v>10/8/2023</v>
      </c>
      <c r="C825" s="1" t="str">
        <f>October!H83</f>
        <v>12/15/1955</v>
      </c>
      <c r="D825" s="1" t="str">
        <f>October!I83</f>
        <v>Platinum</v>
      </c>
      <c r="E825" s="1" t="str">
        <f>October!J83</f>
        <v>Other</v>
      </c>
    </row>
    <row r="826">
      <c r="A826" s="1" t="str">
        <f>October!F84</f>
        <v>251536</v>
      </c>
      <c r="B826" s="1" t="str">
        <f>October!G84</f>
        <v>10/6/2023</v>
      </c>
      <c r="C826" s="1" t="str">
        <f>October!H84</f>
        <v>5/14/1957</v>
      </c>
      <c r="D826" s="1" t="str">
        <f>October!I84</f>
        <v>Basic</v>
      </c>
      <c r="E826" s="1" t="str">
        <f>October!J84</f>
        <v>Asian</v>
      </c>
    </row>
    <row r="827">
      <c r="A827" s="1" t="str">
        <f>October!F85</f>
        <v>238622</v>
      </c>
      <c r="B827" s="1" t="str">
        <f>October!G85</f>
        <v>10/20/2023</v>
      </c>
      <c r="C827" s="1" t="str">
        <f>October!H85</f>
        <v>10/27/1995</v>
      </c>
      <c r="D827" s="1" t="str">
        <f>October!I85</f>
        <v>Gold</v>
      </c>
      <c r="E827" s="1" t="str">
        <f>October!J85</f>
        <v>Asian</v>
      </c>
    </row>
    <row r="828">
      <c r="A828" s="1" t="str">
        <f>October!F86</f>
        <v>293767</v>
      </c>
      <c r="B828" s="1" t="str">
        <f>October!G86</f>
        <v>10/7/2023</v>
      </c>
      <c r="C828" s="1" t="str">
        <f>October!H86</f>
        <v>1/16/2018</v>
      </c>
      <c r="D828" s="1" t="str">
        <f>October!I86</f>
        <v>Platinum</v>
      </c>
      <c r="E828" s="1" t="str">
        <f>October!J86</f>
        <v>Asian</v>
      </c>
    </row>
    <row r="829">
      <c r="A829" s="1" t="str">
        <f>October!F87</f>
        <v>206041</v>
      </c>
      <c r="B829" s="1" t="str">
        <f>October!G87</f>
        <v>10/13/2023</v>
      </c>
      <c r="C829" s="1" t="str">
        <f>October!H87</f>
        <v>10/18/2010</v>
      </c>
      <c r="D829" s="1" t="str">
        <f>October!I87</f>
        <v>Gold</v>
      </c>
      <c r="E829" s="1" t="str">
        <f>October!J87</f>
        <v>White</v>
      </c>
    </row>
    <row r="830">
      <c r="A830" s="1" t="str">
        <f>October!F88</f>
        <v>848661</v>
      </c>
      <c r="B830" s="1" t="str">
        <f>October!G88</f>
        <v>10/8/2023</v>
      </c>
      <c r="C830" s="1" t="str">
        <f>October!H88</f>
        <v>12/2/1957</v>
      </c>
      <c r="D830" s="1" t="str">
        <f>October!I88</f>
        <v>Platinum</v>
      </c>
      <c r="E830" s="1" t="str">
        <f>October!J88</f>
        <v>Black</v>
      </c>
    </row>
    <row r="831">
      <c r="A831" s="1" t="str">
        <f>October!F89</f>
        <v>119971</v>
      </c>
      <c r="B831" s="1" t="str">
        <f>October!G89</f>
        <v>10/1/2023</v>
      </c>
      <c r="C831" s="1" t="str">
        <f>October!H89</f>
        <v>5/21/1963</v>
      </c>
      <c r="D831" s="1" t="str">
        <f>October!I89</f>
        <v>Basic</v>
      </c>
      <c r="E831" s="1" t="str">
        <f>October!J89</f>
        <v>Asian</v>
      </c>
    </row>
    <row r="832">
      <c r="A832" s="1" t="str">
        <f>October!F90</f>
        <v>593905</v>
      </c>
      <c r="B832" s="1" t="str">
        <f>October!G90</f>
        <v>10/27/2023</v>
      </c>
      <c r="C832" s="1" t="str">
        <f>October!H90</f>
        <v>12/5/1961</v>
      </c>
      <c r="D832" s="1" t="str">
        <f>October!I90</f>
        <v>Basic</v>
      </c>
      <c r="E832" s="1" t="str">
        <f>October!J90</f>
        <v>Black</v>
      </c>
    </row>
    <row r="833">
      <c r="A833" s="1" t="str">
        <f>October!F91</f>
        <v>897163</v>
      </c>
      <c r="B833" s="1" t="str">
        <f>October!G91</f>
        <v>10/11/2023</v>
      </c>
      <c r="C833" s="1" t="str">
        <f>October!H91</f>
        <v>10/5/1986</v>
      </c>
      <c r="D833" s="1" t="str">
        <f>October!I91</f>
        <v>Platinum</v>
      </c>
      <c r="E833" s="1" t="str">
        <f>October!J91</f>
        <v>Other</v>
      </c>
    </row>
    <row r="834">
      <c r="A834" s="1" t="str">
        <f>October!F92</f>
        <v>754452</v>
      </c>
      <c r="B834" s="1" t="str">
        <f>October!G92</f>
        <v>10/4/2023</v>
      </c>
      <c r="C834" s="1" t="str">
        <f>October!H92</f>
        <v>11/13/1955</v>
      </c>
      <c r="D834" s="1" t="str">
        <f>October!I92</f>
        <v>Basic</v>
      </c>
      <c r="E834" s="1" t="str">
        <f>October!J92</f>
        <v>Other</v>
      </c>
    </row>
    <row r="835">
      <c r="A835" s="1" t="str">
        <f>October!F93</f>
        <v>111501</v>
      </c>
      <c r="B835" s="1" t="str">
        <f>October!G93</f>
        <v>10/12/2023</v>
      </c>
      <c r="C835" s="1" t="str">
        <f>October!H93</f>
        <v>5/3/1999</v>
      </c>
      <c r="D835" s="1" t="str">
        <f>October!I93</f>
        <v>Gold</v>
      </c>
      <c r="E835" s="1" t="str">
        <f>October!J93</f>
        <v>Black</v>
      </c>
    </row>
    <row r="836">
      <c r="A836" s="1" t="str">
        <f>November!F2</f>
        <v>824746</v>
      </c>
      <c r="B836" s="1" t="str">
        <f>November!G2</f>
        <v>11/23/2023</v>
      </c>
      <c r="C836" s="1" t="str">
        <f>November!H2</f>
        <v>11/29/1984</v>
      </c>
      <c r="D836" s="1" t="str">
        <f>November!I2</f>
        <v>Platinum</v>
      </c>
      <c r="E836" s="1" t="str">
        <f>November!J2</f>
        <v>Black</v>
      </c>
    </row>
    <row r="837">
      <c r="A837" s="1" t="str">
        <f>November!F3</f>
        <v>190312</v>
      </c>
      <c r="B837" s="1" t="str">
        <f>November!G3</f>
        <v>11/3/2023</v>
      </c>
      <c r="C837" s="1" t="str">
        <f>November!H3</f>
        <v>1/21/2014</v>
      </c>
      <c r="D837" s="1" t="str">
        <f>November!I3</f>
        <v>Gold</v>
      </c>
      <c r="E837" s="1" t="str">
        <f>November!J3</f>
        <v>White</v>
      </c>
    </row>
    <row r="838">
      <c r="A838" s="1" t="str">
        <f>November!F4</f>
        <v>713378</v>
      </c>
      <c r="B838" s="1" t="str">
        <f>November!G4</f>
        <v>11/13/2023</v>
      </c>
      <c r="C838" s="1" t="str">
        <f>November!H4</f>
        <v>9/28/1977</v>
      </c>
      <c r="D838" s="1" t="str">
        <f>November!I4</f>
        <v>Basic</v>
      </c>
      <c r="E838" s="1" t="str">
        <f>November!J4</f>
        <v>Black</v>
      </c>
    </row>
    <row r="839">
      <c r="A839" s="1" t="str">
        <f>November!F5</f>
        <v>939786</v>
      </c>
      <c r="B839" s="1" t="str">
        <f>November!G5</f>
        <v>11/25/2023</v>
      </c>
      <c r="C839" s="1" t="str">
        <f>November!H5</f>
        <v>6/16/1997</v>
      </c>
      <c r="D839" s="1" t="str">
        <f>November!I5</f>
        <v>Gold</v>
      </c>
      <c r="E839" s="1" t="str">
        <f>November!J5</f>
        <v>Other</v>
      </c>
    </row>
    <row r="840">
      <c r="A840" s="1" t="str">
        <f>November!F6</f>
        <v>784400</v>
      </c>
      <c r="B840" s="1" t="str">
        <f>November!G6</f>
        <v>11/26/2023</v>
      </c>
      <c r="C840" s="1" t="str">
        <f>November!H6</f>
        <v>12/10/2002</v>
      </c>
      <c r="D840" s="1" t="str">
        <f>November!I6</f>
        <v>Gold</v>
      </c>
      <c r="E840" s="1" t="str">
        <f>November!J6</f>
        <v>Asian</v>
      </c>
    </row>
    <row r="841">
      <c r="A841" s="1" t="str">
        <f>November!F7</f>
        <v>271529</v>
      </c>
      <c r="B841" s="1" t="str">
        <f>November!G7</f>
        <v>11/21/2023</v>
      </c>
      <c r="C841" s="1" t="str">
        <f>November!H7</f>
        <v>7/10/2012</v>
      </c>
      <c r="D841" s="1" t="str">
        <f>November!I7</f>
        <v>Platinum</v>
      </c>
      <c r="E841" s="1" t="str">
        <f>November!J7</f>
        <v>Asian</v>
      </c>
    </row>
    <row r="842">
      <c r="A842" s="1" t="str">
        <f>November!F8</f>
        <v>874417</v>
      </c>
      <c r="B842" s="1" t="str">
        <f>November!G8</f>
        <v>11/9/2023</v>
      </c>
      <c r="C842" s="1" t="str">
        <f>November!H8</f>
        <v>8/12/1985</v>
      </c>
      <c r="D842" s="1" t="str">
        <f>November!I8</f>
        <v>Platinum</v>
      </c>
      <c r="E842" s="1" t="str">
        <f>November!J8</f>
        <v>Other</v>
      </c>
    </row>
    <row r="843">
      <c r="A843" s="1" t="str">
        <f>November!F9</f>
        <v>221238</v>
      </c>
      <c r="B843" s="1" t="str">
        <f>November!G9</f>
        <v>11/1/2023</v>
      </c>
      <c r="C843" s="1" t="str">
        <f>November!H9</f>
        <v>12/28/1940</v>
      </c>
      <c r="D843" s="1" t="str">
        <f>November!I9</f>
        <v>Platinum</v>
      </c>
      <c r="E843" s="1" t="str">
        <f>November!J9</f>
        <v>Other</v>
      </c>
    </row>
    <row r="844">
      <c r="A844" s="1" t="str">
        <f>November!F10</f>
        <v>785851</v>
      </c>
      <c r="B844" s="1" t="str">
        <f>November!G10</f>
        <v>11/8/2023</v>
      </c>
      <c r="C844" s="1" t="str">
        <f>November!H10</f>
        <v>6/12/1981</v>
      </c>
      <c r="D844" s="1" t="str">
        <f>November!I10</f>
        <v>Basic</v>
      </c>
      <c r="E844" s="1" t="str">
        <f>November!J10</f>
        <v>Other</v>
      </c>
    </row>
    <row r="845">
      <c r="A845" s="1" t="str">
        <f>November!F11</f>
        <v>753388</v>
      </c>
      <c r="B845" s="1" t="str">
        <f>November!G11</f>
        <v>11/6/2023</v>
      </c>
      <c r="C845" s="1" t="str">
        <f>November!H11</f>
        <v>5/16/1952</v>
      </c>
      <c r="D845" s="1" t="str">
        <f>November!I11</f>
        <v>Platinum</v>
      </c>
      <c r="E845" s="1" t="str">
        <f>November!J11</f>
        <v>Asian</v>
      </c>
    </row>
    <row r="846">
      <c r="A846" s="1" t="str">
        <f>November!F12</f>
        <v>494788</v>
      </c>
      <c r="B846" s="1" t="str">
        <f>November!G12</f>
        <v>11/11/2023</v>
      </c>
      <c r="C846" s="1" t="str">
        <f>November!H12</f>
        <v>5/5/1968</v>
      </c>
      <c r="D846" s="1" t="str">
        <f>November!I12</f>
        <v>Gold</v>
      </c>
      <c r="E846" s="1" t="str">
        <f>November!J12</f>
        <v>Black</v>
      </c>
    </row>
    <row r="847">
      <c r="A847" s="1" t="str">
        <f>November!F13</f>
        <v>959681</v>
      </c>
      <c r="B847" s="1" t="str">
        <f>November!G13</f>
        <v>11/4/2023</v>
      </c>
      <c r="C847" s="1" t="str">
        <f>November!H13</f>
        <v>11/30/1945</v>
      </c>
      <c r="D847" s="1" t="str">
        <f>November!I13</f>
        <v>Basic</v>
      </c>
      <c r="E847" s="1" t="str">
        <f>November!J13</f>
        <v>White</v>
      </c>
    </row>
    <row r="848">
      <c r="A848" s="1" t="str">
        <f>November!F14</f>
        <v>748491</v>
      </c>
      <c r="B848" s="1" t="str">
        <f>November!G14</f>
        <v>11/20/2023</v>
      </c>
      <c r="C848" s="1" t="str">
        <f>November!H14</f>
        <v>12/7/1957</v>
      </c>
      <c r="D848" s="1" t="str">
        <f>November!I14</f>
        <v>Platinum</v>
      </c>
      <c r="E848" s="1" t="str">
        <f>November!J14</f>
        <v>Asian</v>
      </c>
    </row>
    <row r="849">
      <c r="A849" s="1" t="str">
        <f>November!F15</f>
        <v>168605</v>
      </c>
      <c r="B849" s="1" t="str">
        <f>November!G15</f>
        <v>11/14/2023</v>
      </c>
      <c r="C849" s="1" t="str">
        <f>November!H15</f>
        <v>9/26/1983</v>
      </c>
      <c r="D849" s="1" t="str">
        <f>November!I15</f>
        <v>Basic</v>
      </c>
      <c r="E849" s="1" t="str">
        <f>November!J15</f>
        <v>Black</v>
      </c>
    </row>
    <row r="850">
      <c r="A850" s="1" t="str">
        <f>November!F16</f>
        <v>112161</v>
      </c>
      <c r="B850" s="1" t="str">
        <f>November!G16</f>
        <v>11/13/2023</v>
      </c>
      <c r="C850" s="1" t="str">
        <f>November!H16</f>
        <v>6/27/1967</v>
      </c>
      <c r="D850" s="1" t="str">
        <f>November!I16</f>
        <v>Platinum</v>
      </c>
      <c r="E850" s="1" t="str">
        <f>November!J16</f>
        <v>Asian</v>
      </c>
    </row>
    <row r="851">
      <c r="A851" s="1" t="str">
        <f>November!F17</f>
        <v>918911</v>
      </c>
      <c r="B851" s="1" t="str">
        <f>November!G17</f>
        <v>11/4/2023</v>
      </c>
      <c r="C851" s="1" t="str">
        <f>November!H17</f>
        <v>3/5/1954</v>
      </c>
      <c r="D851" s="1" t="str">
        <f>November!I17</f>
        <v>Gold</v>
      </c>
      <c r="E851" s="1" t="str">
        <f>November!J17</f>
        <v>Black</v>
      </c>
    </row>
    <row r="852">
      <c r="A852" s="1" t="str">
        <f>November!F18</f>
        <v>664737</v>
      </c>
      <c r="B852" s="1" t="str">
        <f>November!G18</f>
        <v>11/19/2023</v>
      </c>
      <c r="C852" s="1" t="str">
        <f>November!H18</f>
        <v>7/7/2000</v>
      </c>
      <c r="D852" s="1" t="str">
        <f>November!I18</f>
        <v>Gold</v>
      </c>
      <c r="E852" s="1" t="str">
        <f>November!J18</f>
        <v>Black</v>
      </c>
    </row>
    <row r="853">
      <c r="A853" s="1" t="str">
        <f>November!F19</f>
        <v>531040</v>
      </c>
      <c r="B853" s="1" t="str">
        <f>November!G19</f>
        <v>11/3/2023</v>
      </c>
      <c r="C853" s="1" t="str">
        <f>November!H19</f>
        <v>7/17/1978</v>
      </c>
      <c r="D853" s="1" t="str">
        <f>November!I19</f>
        <v>Gold</v>
      </c>
      <c r="E853" s="1" t="str">
        <f>November!J19</f>
        <v>White</v>
      </c>
    </row>
    <row r="854">
      <c r="A854" s="1" t="str">
        <f>November!F20</f>
        <v>141629</v>
      </c>
      <c r="B854" s="1" t="str">
        <f>November!G20</f>
        <v>11/4/2023</v>
      </c>
      <c r="C854" s="1" t="str">
        <f>November!H20</f>
        <v>3/9/1957</v>
      </c>
      <c r="D854" s="1" t="str">
        <f>November!I20</f>
        <v>Basic</v>
      </c>
      <c r="E854" s="1" t="str">
        <f>November!J20</f>
        <v>Other</v>
      </c>
    </row>
    <row r="855">
      <c r="A855" s="1" t="str">
        <f>November!F21</f>
        <v>601677</v>
      </c>
      <c r="B855" s="1" t="str">
        <f>November!G21</f>
        <v>11/5/2023</v>
      </c>
      <c r="C855" s="1" t="str">
        <f>November!H21</f>
        <v>1/9/1964</v>
      </c>
      <c r="D855" s="1" t="str">
        <f>November!I21</f>
        <v>Basic</v>
      </c>
      <c r="E855" s="1" t="str">
        <f>November!J21</f>
        <v>Other</v>
      </c>
    </row>
    <row r="856">
      <c r="A856" s="1" t="str">
        <f>November!F22</f>
        <v>761978</v>
      </c>
      <c r="B856" s="1" t="str">
        <f>November!G22</f>
        <v>11/17/2023</v>
      </c>
      <c r="C856" s="1" t="str">
        <f>November!H22</f>
        <v>11/4/1991</v>
      </c>
      <c r="D856" s="1" t="str">
        <f>November!I22</f>
        <v>Gold</v>
      </c>
      <c r="E856" s="1" t="str">
        <f>November!J22</f>
        <v>Asian</v>
      </c>
    </row>
    <row r="857">
      <c r="A857" s="1" t="str">
        <f>November!F23</f>
        <v>235138</v>
      </c>
      <c r="B857" s="1" t="str">
        <f>November!G23</f>
        <v>11/15/2023</v>
      </c>
      <c r="C857" s="1" t="str">
        <f>November!H23</f>
        <v>4/23/1967</v>
      </c>
      <c r="D857" s="1" t="str">
        <f>November!I23</f>
        <v>Platinum</v>
      </c>
      <c r="E857" s="1" t="str">
        <f>November!J23</f>
        <v>Asian</v>
      </c>
    </row>
    <row r="858">
      <c r="A858" s="1" t="str">
        <f>November!F24</f>
        <v>949651</v>
      </c>
      <c r="B858" s="1" t="str">
        <f>November!G24</f>
        <v>11/25/2023</v>
      </c>
      <c r="C858" s="1" t="str">
        <f>November!H24</f>
        <v>9/13/1940</v>
      </c>
      <c r="D858" s="1" t="str">
        <f>November!I24</f>
        <v>Platinum</v>
      </c>
      <c r="E858" s="1" t="str">
        <f>November!J24</f>
        <v>Other</v>
      </c>
    </row>
    <row r="859">
      <c r="A859" s="1" t="str">
        <f>November!F25</f>
        <v>689247</v>
      </c>
      <c r="B859" s="1" t="str">
        <f>November!G25</f>
        <v>11/4/2023</v>
      </c>
      <c r="C859" s="1" t="str">
        <f>November!H25</f>
        <v>11/16/1985</v>
      </c>
      <c r="D859" s="1" t="str">
        <f>November!I25</f>
        <v>Gold</v>
      </c>
      <c r="E859" s="1" t="str">
        <f>November!J25</f>
        <v>Black</v>
      </c>
    </row>
    <row r="860">
      <c r="A860" s="1" t="str">
        <f>November!F26</f>
        <v>879093</v>
      </c>
      <c r="B860" s="1" t="str">
        <f>November!G26</f>
        <v>11/6/2023</v>
      </c>
      <c r="C860" s="1" t="str">
        <f>November!H26</f>
        <v>9/21/1968</v>
      </c>
      <c r="D860" s="1" t="str">
        <f>November!I26</f>
        <v>Gold</v>
      </c>
      <c r="E860" s="1" t="str">
        <f>November!J26</f>
        <v>Black</v>
      </c>
    </row>
    <row r="861">
      <c r="A861" s="1" t="str">
        <f>November!F27</f>
        <v>669652</v>
      </c>
      <c r="B861" s="1" t="str">
        <f>November!G27</f>
        <v>11/28/2023</v>
      </c>
      <c r="C861" s="1" t="str">
        <f>November!H27</f>
        <v>5/28/2009</v>
      </c>
      <c r="D861" s="1" t="str">
        <f>November!I27</f>
        <v>Platinum</v>
      </c>
      <c r="E861" s="1" t="str">
        <f>November!J27</f>
        <v>Other</v>
      </c>
    </row>
    <row r="862">
      <c r="A862" s="1" t="str">
        <f>November!F28</f>
        <v>381269</v>
      </c>
      <c r="B862" s="1" t="str">
        <f>November!G28</f>
        <v>11/1/2023</v>
      </c>
      <c r="C862" s="1" t="str">
        <f>November!H28</f>
        <v>7/15/1983</v>
      </c>
      <c r="D862" s="1" t="str">
        <f>November!I28</f>
        <v>Gold</v>
      </c>
      <c r="E862" s="1" t="str">
        <f>November!J28</f>
        <v>Black</v>
      </c>
    </row>
    <row r="863">
      <c r="A863" s="1" t="str">
        <f>November!F29</f>
        <v>504043</v>
      </c>
      <c r="B863" s="1" t="str">
        <f>November!G29</f>
        <v>11/5/2023</v>
      </c>
      <c r="C863" s="1" t="str">
        <f>November!H29</f>
        <v>4/1/1986</v>
      </c>
      <c r="D863" s="1" t="str">
        <f>November!I29</f>
        <v>Basic</v>
      </c>
      <c r="E863" s="1" t="str">
        <f>November!J29</f>
        <v>Asian</v>
      </c>
    </row>
    <row r="864">
      <c r="A864" s="1" t="str">
        <f>November!F30</f>
        <v>312962</v>
      </c>
      <c r="B864" s="1" t="str">
        <f>November!G30</f>
        <v>11/1/2023</v>
      </c>
      <c r="C864" s="1" t="str">
        <f>November!H30</f>
        <v>7/12/1978</v>
      </c>
      <c r="D864" s="1" t="str">
        <f>November!I30</f>
        <v>Gold</v>
      </c>
      <c r="E864" s="1" t="str">
        <f>November!J30</f>
        <v>White</v>
      </c>
    </row>
    <row r="865">
      <c r="A865" s="1" t="str">
        <f>November!F31</f>
        <v>943346</v>
      </c>
      <c r="B865" s="1" t="str">
        <f>November!G31</f>
        <v>11/30/2023</v>
      </c>
      <c r="C865" s="1" t="str">
        <f>November!H31</f>
        <v>8/27/1957</v>
      </c>
      <c r="D865" s="1" t="str">
        <f>November!I31</f>
        <v>Basic</v>
      </c>
      <c r="E865" s="1" t="str">
        <f>November!J31</f>
        <v>Other</v>
      </c>
    </row>
    <row r="866">
      <c r="A866" s="1" t="str">
        <f>November!F32</f>
        <v>950849</v>
      </c>
      <c r="B866" s="1" t="str">
        <f>November!G32</f>
        <v>11/8/2023</v>
      </c>
      <c r="C866" s="1" t="str">
        <f>November!H32</f>
        <v>7/30/1990</v>
      </c>
      <c r="D866" s="1" t="str">
        <f>November!I32</f>
        <v>Gold</v>
      </c>
      <c r="E866" s="1" t="str">
        <f>November!J32</f>
        <v>Black</v>
      </c>
    </row>
    <row r="867">
      <c r="A867" s="1" t="str">
        <f>November!F33</f>
        <v>271596</v>
      </c>
      <c r="B867" s="1" t="str">
        <f>November!G33</f>
        <v>11/30/2023</v>
      </c>
      <c r="C867" s="1" t="str">
        <f>November!H33</f>
        <v>9/10/2000</v>
      </c>
      <c r="D867" s="1" t="str">
        <f>November!I33</f>
        <v>Gold</v>
      </c>
      <c r="E867" s="1" t="str">
        <f>November!J33</f>
        <v>White</v>
      </c>
    </row>
    <row r="868">
      <c r="A868" s="1" t="str">
        <f>November!F34</f>
        <v>410607</v>
      </c>
      <c r="B868" s="1" t="str">
        <f>November!G34</f>
        <v>11/3/2023</v>
      </c>
      <c r="C868" s="1" t="str">
        <f>November!H34</f>
        <v>3/8/1958</v>
      </c>
      <c r="D868" s="1" t="str">
        <f>November!I34</f>
        <v>Gold</v>
      </c>
      <c r="E868" s="1" t="str">
        <f>November!J34</f>
        <v>Asian</v>
      </c>
    </row>
    <row r="869">
      <c r="A869" s="1" t="str">
        <f>November!F35</f>
        <v>720946</v>
      </c>
      <c r="B869" s="1" t="str">
        <f>November!G35</f>
        <v>11/26/2023</v>
      </c>
      <c r="C869" s="1" t="str">
        <f>November!H35</f>
        <v>6/7/1984</v>
      </c>
      <c r="D869" s="1" t="str">
        <f>November!I35</f>
        <v>Basic</v>
      </c>
      <c r="E869" s="1" t="str">
        <f>November!J35</f>
        <v>White</v>
      </c>
    </row>
    <row r="870">
      <c r="A870" s="1" t="str">
        <f>November!F36</f>
        <v>224213</v>
      </c>
      <c r="B870" s="1" t="str">
        <f>November!G36</f>
        <v>11/27/2023</v>
      </c>
      <c r="C870" s="1" t="str">
        <f>November!H36</f>
        <v>1/17/1992</v>
      </c>
      <c r="D870" s="1" t="str">
        <f>November!I36</f>
        <v>Platinum</v>
      </c>
      <c r="E870" s="1" t="str">
        <f>November!J36</f>
        <v>Other</v>
      </c>
    </row>
    <row r="871">
      <c r="A871" s="1" t="str">
        <f>November!F37</f>
        <v>335173</v>
      </c>
      <c r="B871" s="1" t="str">
        <f>November!G37</f>
        <v>11/11/2023</v>
      </c>
      <c r="C871" s="1" t="str">
        <f>November!H37</f>
        <v>1/28/1942</v>
      </c>
      <c r="D871" s="1" t="str">
        <f>November!I37</f>
        <v>Gold</v>
      </c>
      <c r="E871" s="1" t="str">
        <f>November!J37</f>
        <v>White</v>
      </c>
    </row>
    <row r="872">
      <c r="A872" s="1" t="str">
        <f>November!F38</f>
        <v>963473</v>
      </c>
      <c r="B872" s="1" t="str">
        <f>November!G38</f>
        <v>11/13/2023</v>
      </c>
      <c r="C872" s="1" t="str">
        <f>November!H38</f>
        <v>10/1/2014</v>
      </c>
      <c r="D872" s="1" t="str">
        <f>November!I38</f>
        <v>Platinum</v>
      </c>
      <c r="E872" s="1" t="str">
        <f>November!J38</f>
        <v>White</v>
      </c>
    </row>
    <row r="873">
      <c r="A873" s="1" t="str">
        <f>November!F39</f>
        <v>983346</v>
      </c>
      <c r="B873" s="1" t="str">
        <f>November!G39</f>
        <v>11/24/2023</v>
      </c>
      <c r="C873" s="1" t="str">
        <f>November!H39</f>
        <v>8/19/1951</v>
      </c>
      <c r="D873" s="1" t="str">
        <f>November!I39</f>
        <v>Basic</v>
      </c>
      <c r="E873" s="1" t="str">
        <f>November!J39</f>
        <v>Asian</v>
      </c>
    </row>
    <row r="874">
      <c r="A874" s="1" t="str">
        <f>November!F40</f>
        <v>129983</v>
      </c>
      <c r="B874" s="1" t="str">
        <f>November!G40</f>
        <v>11/7/2023</v>
      </c>
      <c r="C874" s="1" t="str">
        <f>November!H40</f>
        <v>4/12/2001</v>
      </c>
      <c r="D874" s="1" t="str">
        <f>November!I40</f>
        <v>Basic</v>
      </c>
      <c r="E874" s="1" t="str">
        <f>November!J40</f>
        <v>Asian</v>
      </c>
    </row>
    <row r="875">
      <c r="A875" s="1" t="str">
        <f>November!F41</f>
        <v>697830</v>
      </c>
      <c r="B875" s="1" t="str">
        <f>November!G41</f>
        <v>11/21/2023</v>
      </c>
      <c r="C875" s="1" t="str">
        <f>November!H41</f>
        <v>11/14/1948</v>
      </c>
      <c r="D875" s="1" t="str">
        <f>November!I41</f>
        <v>Gold</v>
      </c>
      <c r="E875" s="1" t="str">
        <f>November!J41</f>
        <v>White</v>
      </c>
    </row>
    <row r="876">
      <c r="A876" s="1" t="str">
        <f>November!F42</f>
        <v>774922</v>
      </c>
      <c r="B876" s="1" t="str">
        <f>November!G42</f>
        <v>11/19/2023</v>
      </c>
      <c r="C876" s="1" t="str">
        <f>November!H42</f>
        <v>8/14/2011</v>
      </c>
      <c r="D876" s="1" t="str">
        <f>November!I42</f>
        <v>Gold</v>
      </c>
      <c r="E876" s="1" t="str">
        <f>November!J42</f>
        <v>Black</v>
      </c>
    </row>
    <row r="877">
      <c r="A877" s="1" t="str">
        <f>November!F43</f>
        <v>694902</v>
      </c>
      <c r="B877" s="1" t="str">
        <f>November!G43</f>
        <v>11/21/2023</v>
      </c>
      <c r="C877" s="1" t="str">
        <f>November!H43</f>
        <v>3/30/2001</v>
      </c>
      <c r="D877" s="1" t="str">
        <f>November!I43</f>
        <v>Basic</v>
      </c>
      <c r="E877" s="1" t="str">
        <f>November!J43</f>
        <v>Asian</v>
      </c>
    </row>
    <row r="878">
      <c r="A878" s="1" t="str">
        <f>November!F44</f>
        <v>595254</v>
      </c>
      <c r="B878" s="1" t="str">
        <f>November!G44</f>
        <v>11/6/2023</v>
      </c>
      <c r="C878" s="1" t="str">
        <f>November!H44</f>
        <v>5/6/1942</v>
      </c>
      <c r="D878" s="1" t="str">
        <f>November!I44</f>
        <v>Platinum</v>
      </c>
      <c r="E878" s="1" t="str">
        <f>November!J44</f>
        <v>Other</v>
      </c>
    </row>
    <row r="879">
      <c r="A879" s="1" t="str">
        <f>November!F45</f>
        <v>260096</v>
      </c>
      <c r="B879" s="1" t="str">
        <f>November!G45</f>
        <v>11/20/2023</v>
      </c>
      <c r="C879" s="1" t="str">
        <f>November!H45</f>
        <v>1/10/1955</v>
      </c>
      <c r="D879" s="1" t="str">
        <f>November!I45</f>
        <v>Basic</v>
      </c>
      <c r="E879" s="1" t="str">
        <f>November!J45</f>
        <v>Black</v>
      </c>
    </row>
    <row r="880">
      <c r="A880" s="1" t="str">
        <f>November!F46</f>
        <v>512023</v>
      </c>
      <c r="B880" s="1" t="str">
        <f>November!G46</f>
        <v>11/16/2023</v>
      </c>
      <c r="C880" s="1" t="str">
        <f>November!H46</f>
        <v>4/5/1957</v>
      </c>
      <c r="D880" s="1" t="str">
        <f>November!I46</f>
        <v>Gold</v>
      </c>
      <c r="E880" s="1" t="str">
        <f>November!J46</f>
        <v>Black</v>
      </c>
    </row>
    <row r="881">
      <c r="A881" s="1" t="str">
        <f>November!F47</f>
        <v>952333</v>
      </c>
      <c r="B881" s="1" t="str">
        <f>November!G47</f>
        <v>11/15/2023</v>
      </c>
      <c r="C881" s="1" t="str">
        <f>November!H47</f>
        <v>3/5/2000</v>
      </c>
      <c r="D881" s="1" t="str">
        <f>November!I47</f>
        <v>Gold</v>
      </c>
      <c r="E881" s="1" t="str">
        <f>November!J47</f>
        <v>Other</v>
      </c>
    </row>
    <row r="882">
      <c r="A882" s="1" t="str">
        <f>November!F48</f>
        <v>848904</v>
      </c>
      <c r="B882" s="1" t="str">
        <f>November!G48</f>
        <v>11/14/2023</v>
      </c>
      <c r="C882" s="1" t="str">
        <f>November!H48</f>
        <v>1/6/1962</v>
      </c>
      <c r="D882" s="1" t="str">
        <f>November!I48</f>
        <v>Basic</v>
      </c>
      <c r="E882" s="1" t="str">
        <f>November!J48</f>
        <v>White</v>
      </c>
    </row>
    <row r="883">
      <c r="A883" s="1" t="str">
        <f>November!F49</f>
        <v>279177</v>
      </c>
      <c r="B883" s="1" t="str">
        <f>November!G49</f>
        <v>11/7/2023</v>
      </c>
      <c r="C883" s="1" t="str">
        <f>November!H49</f>
        <v>2/26/1967</v>
      </c>
      <c r="D883" s="1" t="str">
        <f>November!I49</f>
        <v>Basic</v>
      </c>
      <c r="E883" s="1" t="str">
        <f>November!J49</f>
        <v>White</v>
      </c>
    </row>
    <row r="884">
      <c r="A884" s="1" t="str">
        <f>November!F50</f>
        <v>755822</v>
      </c>
      <c r="B884" s="1" t="str">
        <f>November!G50</f>
        <v>11/19/2023</v>
      </c>
      <c r="C884" s="1" t="str">
        <f>November!H50</f>
        <v>7/4/1942</v>
      </c>
      <c r="D884" s="1" t="str">
        <f>November!I50</f>
        <v>Gold</v>
      </c>
      <c r="E884" s="1" t="str">
        <f>November!J50</f>
        <v>Black</v>
      </c>
    </row>
    <row r="885">
      <c r="A885" s="1" t="str">
        <f>November!F51</f>
        <v>838906</v>
      </c>
      <c r="B885" s="1" t="str">
        <f>November!G51</f>
        <v>11/26/2023</v>
      </c>
      <c r="C885" s="1" t="str">
        <f>November!H51</f>
        <v>6/1/1976</v>
      </c>
      <c r="D885" s="1" t="str">
        <f>November!I51</f>
        <v>Gold</v>
      </c>
      <c r="E885" s="1" t="str">
        <f>November!J51</f>
        <v>White</v>
      </c>
    </row>
    <row r="886">
      <c r="A886" s="1" t="str">
        <f>November!F52</f>
        <v>701108</v>
      </c>
      <c r="B886" s="1" t="str">
        <f>November!G52</f>
        <v>11/21/2023</v>
      </c>
      <c r="C886" s="1" t="str">
        <f>November!H52</f>
        <v>10/29/1975</v>
      </c>
      <c r="D886" s="1" t="str">
        <f>November!I52</f>
        <v>Basic</v>
      </c>
      <c r="E886" s="1" t="str">
        <f>November!J52</f>
        <v>White</v>
      </c>
    </row>
    <row r="887">
      <c r="A887" s="1" t="str">
        <f>November!F53</f>
        <v>892338</v>
      </c>
      <c r="B887" s="1" t="str">
        <f>November!G53</f>
        <v>11/5/2023</v>
      </c>
      <c r="C887" s="1" t="str">
        <f>November!H53</f>
        <v>6/3/1961</v>
      </c>
      <c r="D887" s="1" t="str">
        <f>November!I53</f>
        <v>Platinum</v>
      </c>
      <c r="E887" s="1" t="str">
        <f>November!J53</f>
        <v>White</v>
      </c>
    </row>
    <row r="888">
      <c r="A888" s="1" t="str">
        <f>November!F54</f>
        <v>450210</v>
      </c>
      <c r="B888" s="1" t="str">
        <f>November!G54</f>
        <v>11/24/2023</v>
      </c>
      <c r="C888" s="1" t="str">
        <f>November!H54</f>
        <v>8/24/2018</v>
      </c>
      <c r="D888" s="1" t="str">
        <f>November!I54</f>
        <v>Basic</v>
      </c>
      <c r="E888" s="1" t="str">
        <f>November!J54</f>
        <v>Other</v>
      </c>
    </row>
    <row r="889">
      <c r="A889" s="1" t="str">
        <f>November!F55</f>
        <v>140062</v>
      </c>
      <c r="B889" s="1" t="str">
        <f>November!G55</f>
        <v>11/22/2023</v>
      </c>
      <c r="C889" s="1" t="str">
        <f>November!H55</f>
        <v>6/7/2012</v>
      </c>
      <c r="D889" s="1" t="str">
        <f>November!I55</f>
        <v>Platinum</v>
      </c>
      <c r="E889" s="1" t="str">
        <f>November!J55</f>
        <v>Black</v>
      </c>
    </row>
    <row r="890">
      <c r="A890" s="1" t="str">
        <f>November!F56</f>
        <v>176117</v>
      </c>
      <c r="B890" s="1" t="str">
        <f>November!G56</f>
        <v>11/28/2023</v>
      </c>
      <c r="C890" s="1" t="str">
        <f>November!H56</f>
        <v>4/19/1966</v>
      </c>
      <c r="D890" s="1" t="str">
        <f>November!I56</f>
        <v>Gold</v>
      </c>
      <c r="E890" s="1" t="str">
        <f>November!J56</f>
        <v>Asian</v>
      </c>
    </row>
    <row r="891">
      <c r="A891" s="1" t="str">
        <f>November!F57</f>
        <v>791769</v>
      </c>
      <c r="B891" s="1" t="str">
        <f>November!G57</f>
        <v>11/4/2023</v>
      </c>
      <c r="C891" s="1" t="str">
        <f>November!H57</f>
        <v>11/2/1968</v>
      </c>
      <c r="D891" s="1" t="str">
        <f>November!I57</f>
        <v>Gold</v>
      </c>
      <c r="E891" s="1" t="str">
        <f>November!J57</f>
        <v>Black</v>
      </c>
    </row>
    <row r="892">
      <c r="A892" s="1" t="str">
        <f>November!F58</f>
        <v>145928</v>
      </c>
      <c r="B892" s="1" t="str">
        <f>November!G58</f>
        <v>11/23/2023</v>
      </c>
      <c r="C892" s="1" t="str">
        <f>November!H58</f>
        <v>8/16/1941</v>
      </c>
      <c r="D892" s="1" t="str">
        <f>November!I58</f>
        <v>Basic</v>
      </c>
      <c r="E892" s="1" t="str">
        <f>November!J58</f>
        <v>Other</v>
      </c>
    </row>
    <row r="893">
      <c r="A893" s="1" t="str">
        <f>November!F59</f>
        <v>311054</v>
      </c>
      <c r="B893" s="1" t="str">
        <f>November!G59</f>
        <v>11/26/2023</v>
      </c>
      <c r="C893" s="1" t="str">
        <f>November!H59</f>
        <v>11/21/1956</v>
      </c>
      <c r="D893" s="1" t="str">
        <f>November!I59</f>
        <v>Gold</v>
      </c>
      <c r="E893" s="1" t="str">
        <f>November!J59</f>
        <v>Black</v>
      </c>
    </row>
    <row r="894">
      <c r="A894" s="1" t="str">
        <f>November!F60</f>
        <v>575378</v>
      </c>
      <c r="B894" s="1" t="str">
        <f>November!G60</f>
        <v>11/24/2023</v>
      </c>
      <c r="C894" s="1" t="str">
        <f>November!H60</f>
        <v>4/7/1974</v>
      </c>
      <c r="D894" s="1" t="str">
        <f>November!I60</f>
        <v>Platinum</v>
      </c>
      <c r="E894" s="1" t="str">
        <f>November!J60</f>
        <v>White</v>
      </c>
    </row>
    <row r="895">
      <c r="A895" s="1" t="str">
        <f>November!F61</f>
        <v>390727</v>
      </c>
      <c r="B895" s="1" t="str">
        <f>November!G61</f>
        <v>11/4/2023</v>
      </c>
      <c r="C895" s="1" t="str">
        <f>November!H61</f>
        <v>10/9/1972</v>
      </c>
      <c r="D895" s="1" t="str">
        <f>November!I61</f>
        <v>Basic</v>
      </c>
      <c r="E895" s="1" t="str">
        <f>November!J61</f>
        <v>Asian</v>
      </c>
    </row>
    <row r="896">
      <c r="A896" s="1" t="str">
        <f>November!F62</f>
        <v>220298</v>
      </c>
      <c r="B896" s="1" t="str">
        <f>November!G62</f>
        <v>11/12/2023</v>
      </c>
      <c r="C896" s="1" t="str">
        <f>November!H62</f>
        <v>7/5/1978</v>
      </c>
      <c r="D896" s="1" t="str">
        <f>November!I62</f>
        <v>Gold</v>
      </c>
      <c r="E896" s="1" t="str">
        <f>November!J62</f>
        <v>Asian</v>
      </c>
    </row>
    <row r="897">
      <c r="A897" s="1" t="str">
        <f>November!F63</f>
        <v>808528</v>
      </c>
      <c r="B897" s="1" t="str">
        <f>November!G63</f>
        <v>11/26/2023</v>
      </c>
      <c r="C897" s="1" t="str">
        <f>November!H63</f>
        <v>4/5/1992</v>
      </c>
      <c r="D897" s="1" t="str">
        <f>November!I63</f>
        <v>Gold</v>
      </c>
      <c r="E897" s="1" t="str">
        <f>November!J63</f>
        <v>White</v>
      </c>
    </row>
    <row r="898">
      <c r="A898" s="1" t="str">
        <f>November!F64</f>
        <v>829132</v>
      </c>
      <c r="B898" s="1" t="str">
        <f>November!G64</f>
        <v>11/20/2023</v>
      </c>
      <c r="C898" s="1" t="str">
        <f>November!H64</f>
        <v>5/19/1991</v>
      </c>
      <c r="D898" s="1" t="str">
        <f>November!I64</f>
        <v>Gold</v>
      </c>
      <c r="E898" s="1" t="str">
        <f>November!J64</f>
        <v>Other</v>
      </c>
    </row>
    <row r="899">
      <c r="A899" s="1" t="str">
        <f>November!F65</f>
        <v>345518</v>
      </c>
      <c r="B899" s="1" t="str">
        <f>November!G65</f>
        <v>11/23/2023</v>
      </c>
      <c r="C899" s="1" t="str">
        <f>November!H65</f>
        <v>12/22/1994</v>
      </c>
      <c r="D899" s="1" t="str">
        <f>November!I65</f>
        <v>Platinum</v>
      </c>
      <c r="E899" s="1" t="str">
        <f>November!J65</f>
        <v>Black</v>
      </c>
    </row>
    <row r="900">
      <c r="A900" s="1" t="str">
        <f>November!F66</f>
        <v>753670</v>
      </c>
      <c r="B900" s="1" t="str">
        <f>November!G66</f>
        <v>11/14/2023</v>
      </c>
      <c r="C900" s="1" t="str">
        <f>November!H66</f>
        <v>12/4/1991</v>
      </c>
      <c r="D900" s="1" t="str">
        <f>November!I66</f>
        <v>Basic</v>
      </c>
      <c r="E900" s="1" t="str">
        <f>November!J66</f>
        <v>Black</v>
      </c>
    </row>
    <row r="901">
      <c r="A901" s="1" t="str">
        <f>December!F2</f>
        <v>931463</v>
      </c>
      <c r="B901" s="1" t="str">
        <f>December!G2</f>
        <v>12/22/2023</v>
      </c>
      <c r="C901" s="1" t="str">
        <f>December!H2</f>
        <v>8/30/1978</v>
      </c>
      <c r="D901" s="1" t="str">
        <f>December!I2</f>
        <v>Platinum</v>
      </c>
      <c r="E901" s="1" t="str">
        <f>December!J2</f>
        <v>Other</v>
      </c>
    </row>
    <row r="902">
      <c r="A902" s="1" t="str">
        <f>December!F3</f>
        <v>973596</v>
      </c>
      <c r="B902" s="1" t="str">
        <f>December!G3</f>
        <v>12/16/2023</v>
      </c>
      <c r="C902" s="1" t="str">
        <f>December!H3</f>
        <v>2/22/1971</v>
      </c>
      <c r="D902" s="1" t="str">
        <f>December!I3</f>
        <v>Platinum</v>
      </c>
      <c r="E902" s="1" t="str">
        <f>December!J3</f>
        <v>Other</v>
      </c>
    </row>
    <row r="903">
      <c r="A903" s="1" t="str">
        <f>December!F4</f>
        <v>158712</v>
      </c>
      <c r="B903" s="1" t="str">
        <f>December!G4</f>
        <v>12/13/2023</v>
      </c>
      <c r="C903" s="1" t="str">
        <f>December!H4</f>
        <v>11/27/1948</v>
      </c>
      <c r="D903" s="1" t="str">
        <f>December!I4</f>
        <v>Gold</v>
      </c>
      <c r="E903" s="1" t="str">
        <f>December!J4</f>
        <v>Black</v>
      </c>
    </row>
    <row r="904">
      <c r="A904" s="1" t="str">
        <f>December!F5</f>
        <v>829567</v>
      </c>
      <c r="B904" s="1" t="str">
        <f>December!G5</f>
        <v>12/19/2023</v>
      </c>
      <c r="C904" s="1" t="str">
        <f>December!H5</f>
        <v>5/17/2019</v>
      </c>
      <c r="D904" s="1" t="str">
        <f>December!I5</f>
        <v>Gold</v>
      </c>
      <c r="E904" s="1" t="str">
        <f>December!J5</f>
        <v>Asian</v>
      </c>
    </row>
    <row r="905">
      <c r="A905" s="1" t="str">
        <f>December!F6</f>
        <v>765708</v>
      </c>
      <c r="B905" s="1" t="str">
        <f>December!G6</f>
        <v>12/21/2023</v>
      </c>
      <c r="C905" s="1" t="str">
        <f>December!H6</f>
        <v>6/27/1982</v>
      </c>
      <c r="D905" s="1" t="str">
        <f>December!I6</f>
        <v>Basic</v>
      </c>
      <c r="E905" s="1" t="str">
        <f>December!J6</f>
        <v>Black</v>
      </c>
    </row>
    <row r="906">
      <c r="A906" s="1" t="str">
        <f>December!F7</f>
        <v>147410</v>
      </c>
      <c r="B906" s="1" t="str">
        <f>December!G7</f>
        <v>12/8/2023</v>
      </c>
      <c r="C906" s="1" t="str">
        <f>December!H7</f>
        <v>10/2/2008</v>
      </c>
      <c r="D906" s="1" t="str">
        <f>December!I7</f>
        <v>Platinum</v>
      </c>
      <c r="E906" s="1" t="str">
        <f>December!J7</f>
        <v>White</v>
      </c>
    </row>
    <row r="907">
      <c r="A907" s="1" t="str">
        <f>December!F8</f>
        <v>268700</v>
      </c>
      <c r="B907" s="1" t="str">
        <f>December!G8</f>
        <v>12/4/2023</v>
      </c>
      <c r="C907" s="1" t="str">
        <f>December!H8</f>
        <v>10/5/2008</v>
      </c>
      <c r="D907" s="1" t="str">
        <f>December!I8</f>
        <v>Gold</v>
      </c>
      <c r="E907" s="1" t="str">
        <f>December!J8</f>
        <v>White</v>
      </c>
    </row>
    <row r="908">
      <c r="A908" s="1" t="str">
        <f>December!F9</f>
        <v>932627</v>
      </c>
      <c r="B908" s="1" t="str">
        <f>December!G9</f>
        <v>12/12/2023</v>
      </c>
      <c r="C908" s="1" t="str">
        <f>December!H9</f>
        <v>12/1/1953</v>
      </c>
      <c r="D908" s="1" t="str">
        <f>December!I9</f>
        <v>Platinum</v>
      </c>
      <c r="E908" s="1" t="str">
        <f>December!J9</f>
        <v>Other</v>
      </c>
    </row>
    <row r="909">
      <c r="A909" s="1" t="str">
        <f>December!F10</f>
        <v>745654</v>
      </c>
      <c r="B909" s="1" t="str">
        <f>December!G10</f>
        <v>12/8/2023</v>
      </c>
      <c r="C909" s="1" t="str">
        <f>December!H10</f>
        <v>11/25/1996</v>
      </c>
      <c r="D909" s="1" t="str">
        <f>December!I10</f>
        <v>Gold</v>
      </c>
      <c r="E909" s="1" t="str">
        <f>December!J10</f>
        <v>Other</v>
      </c>
    </row>
    <row r="910">
      <c r="A910" s="1" t="str">
        <f>December!F11</f>
        <v>858465</v>
      </c>
      <c r="B910" s="1" t="str">
        <f>December!G11</f>
        <v>12/25/2023</v>
      </c>
      <c r="C910" s="1" t="str">
        <f>December!H11</f>
        <v>7/2/1957</v>
      </c>
      <c r="D910" s="1" t="str">
        <f>December!I11</f>
        <v>Basic</v>
      </c>
      <c r="E910" s="1" t="str">
        <f>December!J11</f>
        <v>Black</v>
      </c>
    </row>
    <row r="911">
      <c r="A911" s="1" t="str">
        <f>December!F12</f>
        <v>501352</v>
      </c>
      <c r="B911" s="1" t="str">
        <f>December!G12</f>
        <v>12/22/2023</v>
      </c>
      <c r="C911" s="1" t="str">
        <f>December!H12</f>
        <v>6/29/1971</v>
      </c>
      <c r="D911" s="1" t="str">
        <f>December!I12</f>
        <v>Basic</v>
      </c>
      <c r="E911" s="1" t="str">
        <f>December!J12</f>
        <v>Black</v>
      </c>
    </row>
    <row r="912">
      <c r="A912" s="1" t="str">
        <f>December!F13</f>
        <v>704040</v>
      </c>
      <c r="B912" s="1" t="str">
        <f>December!G13</f>
        <v>12/6/2023</v>
      </c>
      <c r="C912" s="1" t="str">
        <f>December!H13</f>
        <v>8/1/1993</v>
      </c>
      <c r="D912" s="1" t="str">
        <f>December!I13</f>
        <v>Basic</v>
      </c>
      <c r="E912" s="1" t="str">
        <f>December!J13</f>
        <v>Asian</v>
      </c>
    </row>
    <row r="913">
      <c r="A913" s="1" t="str">
        <f>December!F14</f>
        <v>926550</v>
      </c>
      <c r="B913" s="1" t="str">
        <f>December!G14</f>
        <v>12/6/2023</v>
      </c>
      <c r="C913" s="1" t="str">
        <f>December!H14</f>
        <v>10/31/1942</v>
      </c>
      <c r="D913" s="1" t="str">
        <f>December!I14</f>
        <v>Basic</v>
      </c>
      <c r="E913" s="1" t="str">
        <f>December!J14</f>
        <v>Asian</v>
      </c>
    </row>
    <row r="914">
      <c r="A914" s="1" t="str">
        <f>December!F15</f>
        <v>669150</v>
      </c>
      <c r="B914" s="1" t="str">
        <f>December!G15</f>
        <v>12/27/2023</v>
      </c>
      <c r="C914" s="1" t="str">
        <f>December!H15</f>
        <v>10/27/1963</v>
      </c>
      <c r="D914" s="1" t="str">
        <f>December!I15</f>
        <v>Platinum</v>
      </c>
      <c r="E914" s="1" t="str">
        <f>December!J15</f>
        <v>Black</v>
      </c>
    </row>
    <row r="915">
      <c r="A915" s="1" t="str">
        <f>December!F16</f>
        <v>232108</v>
      </c>
      <c r="B915" s="1" t="str">
        <f>December!G16</f>
        <v>12/10/2023</v>
      </c>
      <c r="C915" s="1" t="str">
        <f>December!H16</f>
        <v>1/24/2009</v>
      </c>
      <c r="D915" s="1" t="str">
        <f>December!I16</f>
        <v>Gold</v>
      </c>
      <c r="E915" s="1" t="str">
        <f>December!J16</f>
        <v>Asian</v>
      </c>
    </row>
    <row r="916">
      <c r="A916" s="1" t="str">
        <f>December!F17</f>
        <v>271167</v>
      </c>
      <c r="B916" s="1" t="str">
        <f>December!G17</f>
        <v>12/15/2023</v>
      </c>
      <c r="C916" s="1" t="str">
        <f>December!H17</f>
        <v>5/23/1944</v>
      </c>
      <c r="D916" s="1" t="str">
        <f>December!I17</f>
        <v>Platinum</v>
      </c>
      <c r="E916" s="1" t="str">
        <f>December!J17</f>
        <v>Asian</v>
      </c>
    </row>
    <row r="917">
      <c r="A917" s="1" t="str">
        <f>December!F18</f>
        <v>536823</v>
      </c>
      <c r="B917" s="1" t="str">
        <f>December!G18</f>
        <v>12/11/2023</v>
      </c>
      <c r="C917" s="1" t="str">
        <f>December!H18</f>
        <v>6/17/1985</v>
      </c>
      <c r="D917" s="1" t="str">
        <f>December!I18</f>
        <v>Gold</v>
      </c>
      <c r="E917" s="1" t="str">
        <f>December!J18</f>
        <v>Black</v>
      </c>
    </row>
    <row r="918">
      <c r="A918" s="1" t="str">
        <f>December!F19</f>
        <v>353144</v>
      </c>
      <c r="B918" s="1" t="str">
        <f>December!G19</f>
        <v>12/19/2023</v>
      </c>
      <c r="C918" s="1" t="str">
        <f>December!H19</f>
        <v>12/8/2019</v>
      </c>
      <c r="D918" s="1" t="str">
        <f>December!I19</f>
        <v>Gold</v>
      </c>
      <c r="E918" s="1" t="str">
        <f>December!J19</f>
        <v>Other</v>
      </c>
    </row>
    <row r="919">
      <c r="A919" s="1" t="str">
        <f>December!F20</f>
        <v>511565</v>
      </c>
      <c r="B919" s="1" t="str">
        <f>December!G20</f>
        <v>12/7/2023</v>
      </c>
      <c r="C919" s="1" t="str">
        <f>December!H20</f>
        <v>3/17/1995</v>
      </c>
      <c r="D919" s="1" t="str">
        <f>December!I20</f>
        <v>Platinum</v>
      </c>
      <c r="E919" s="1" t="str">
        <f>December!J20</f>
        <v>Black</v>
      </c>
    </row>
    <row r="920">
      <c r="A920" s="1" t="str">
        <f>December!F21</f>
        <v>722586</v>
      </c>
      <c r="B920" s="1" t="str">
        <f>December!G21</f>
        <v>12/16/2023</v>
      </c>
      <c r="C920" s="1" t="str">
        <f>December!H21</f>
        <v>5/15/1942</v>
      </c>
      <c r="D920" s="1" t="str">
        <f>December!I21</f>
        <v>Gold</v>
      </c>
      <c r="E920" s="1" t="str">
        <f>December!J21</f>
        <v>White</v>
      </c>
    </row>
    <row r="921">
      <c r="A921" s="1" t="str">
        <f>December!F22</f>
        <v>721246</v>
      </c>
      <c r="B921" s="1" t="str">
        <f>December!G22</f>
        <v>12/13/2023</v>
      </c>
      <c r="C921" s="1" t="str">
        <f>December!H22</f>
        <v>6/24/2002</v>
      </c>
      <c r="D921" s="1" t="str">
        <f>December!I22</f>
        <v>Gold</v>
      </c>
      <c r="E921" s="1" t="str">
        <f>December!J22</f>
        <v>Asian</v>
      </c>
    </row>
    <row r="922">
      <c r="A922" s="1" t="str">
        <f>December!F23</f>
        <v>878212</v>
      </c>
      <c r="B922" s="1" t="str">
        <f>December!G23</f>
        <v>12/8/2023</v>
      </c>
      <c r="C922" s="1" t="str">
        <f>December!H23</f>
        <v>3/1/1957</v>
      </c>
      <c r="D922" s="1" t="str">
        <f>December!I23</f>
        <v>Basic</v>
      </c>
      <c r="E922" s="1" t="str">
        <f>December!J23</f>
        <v>White</v>
      </c>
    </row>
    <row r="923">
      <c r="A923" s="1" t="str">
        <f>December!F24</f>
        <v>983979</v>
      </c>
      <c r="B923" s="1" t="str">
        <f>December!G24</f>
        <v>12/27/2023</v>
      </c>
      <c r="C923" s="1" t="str">
        <f>December!H24</f>
        <v>5/4/1954</v>
      </c>
      <c r="D923" s="1" t="str">
        <f>December!I24</f>
        <v>Basic</v>
      </c>
      <c r="E923" s="1" t="str">
        <f>December!J24</f>
        <v>White</v>
      </c>
    </row>
    <row r="924">
      <c r="A924" s="1" t="str">
        <f>December!F25</f>
        <v>428431</v>
      </c>
      <c r="B924" s="1" t="str">
        <f>December!G25</f>
        <v>12/9/2023</v>
      </c>
      <c r="C924" s="1" t="str">
        <f>December!H25</f>
        <v>4/27/1993</v>
      </c>
      <c r="D924" s="1" t="str">
        <f>December!I25</f>
        <v>Basic</v>
      </c>
      <c r="E924" s="1" t="str">
        <f>December!J25</f>
        <v>Other</v>
      </c>
    </row>
    <row r="925">
      <c r="A925" s="1" t="str">
        <f>December!F26</f>
        <v>306981</v>
      </c>
      <c r="B925" s="1" t="str">
        <f>December!G26</f>
        <v>12/7/2023</v>
      </c>
      <c r="C925" s="1" t="str">
        <f>December!H26</f>
        <v>1/27/1983</v>
      </c>
      <c r="D925" s="1" t="str">
        <f>December!I26</f>
        <v>Basic</v>
      </c>
      <c r="E925" s="1" t="str">
        <f>December!J26</f>
        <v>Other</v>
      </c>
    </row>
    <row r="926">
      <c r="A926" s="1" t="str">
        <f>December!F27</f>
        <v>285333</v>
      </c>
      <c r="B926" s="1" t="str">
        <f>December!G27</f>
        <v>12/8/2023</v>
      </c>
      <c r="C926" s="1" t="str">
        <f>December!H27</f>
        <v>3/22/1948</v>
      </c>
      <c r="D926" s="1" t="str">
        <f>December!I27</f>
        <v>Gold</v>
      </c>
      <c r="E926" s="1" t="str">
        <f>December!J27</f>
        <v>Other</v>
      </c>
    </row>
    <row r="927">
      <c r="A927" s="1" t="str">
        <f>December!F28</f>
        <v>779147</v>
      </c>
      <c r="B927" s="1" t="str">
        <f>December!G28</f>
        <v>12/27/2023</v>
      </c>
      <c r="C927" s="1" t="str">
        <f>December!H28</f>
        <v>7/28/1989</v>
      </c>
      <c r="D927" s="1" t="str">
        <f>December!I28</f>
        <v>Basic</v>
      </c>
      <c r="E927" s="1" t="str">
        <f>December!J28</f>
        <v>Other</v>
      </c>
    </row>
    <row r="928">
      <c r="A928" s="1" t="str">
        <f>December!F29</f>
        <v>163418</v>
      </c>
      <c r="B928" s="1" t="str">
        <f>December!G29</f>
        <v>12/28/2023</v>
      </c>
      <c r="C928" s="1" t="str">
        <f>December!H29</f>
        <v>10/24/2017</v>
      </c>
      <c r="D928" s="1" t="str">
        <f>December!I29</f>
        <v>Platinum</v>
      </c>
      <c r="E928" s="1" t="str">
        <f>December!J29</f>
        <v>Other</v>
      </c>
    </row>
    <row r="929">
      <c r="A929" s="1" t="str">
        <f>December!F30</f>
        <v>850734</v>
      </c>
      <c r="B929" s="1" t="str">
        <f>December!G30</f>
        <v>12/19/2023</v>
      </c>
      <c r="C929" s="1" t="str">
        <f>December!H30</f>
        <v>2/20/1968</v>
      </c>
      <c r="D929" s="1" t="str">
        <f>December!I30</f>
        <v>Platinum</v>
      </c>
      <c r="E929" s="1" t="str">
        <f>December!J30</f>
        <v>White</v>
      </c>
    </row>
    <row r="930">
      <c r="A930" s="1" t="str">
        <f>December!F31</f>
        <v>194739</v>
      </c>
      <c r="B930" s="1" t="str">
        <f>December!G31</f>
        <v>12/15/2023</v>
      </c>
      <c r="C930" s="1" t="str">
        <f>December!H31</f>
        <v>3/29/2002</v>
      </c>
      <c r="D930" s="1" t="str">
        <f>December!I31</f>
        <v>Basic</v>
      </c>
      <c r="E930" s="1" t="str">
        <f>December!J31</f>
        <v>Other</v>
      </c>
    </row>
    <row r="931">
      <c r="A931" s="1" t="str">
        <f>December!F32</f>
        <v>587714</v>
      </c>
      <c r="B931" s="1" t="str">
        <f>December!G32</f>
        <v>12/1/2023</v>
      </c>
      <c r="C931" s="1" t="str">
        <f>December!H32</f>
        <v>10/2/1952</v>
      </c>
      <c r="D931" s="1" t="str">
        <f>December!I32</f>
        <v>Gold</v>
      </c>
      <c r="E931" s="1" t="str">
        <f>December!J32</f>
        <v>White</v>
      </c>
    </row>
    <row r="932">
      <c r="A932" s="1" t="str">
        <f>December!F33</f>
        <v>343327</v>
      </c>
      <c r="B932" s="1" t="str">
        <f>December!G33</f>
        <v>12/5/2023</v>
      </c>
      <c r="C932" s="1" t="str">
        <f>December!H33</f>
        <v>6/12/1949</v>
      </c>
      <c r="D932" s="1" t="str">
        <f>December!I33</f>
        <v>Gold</v>
      </c>
      <c r="E932" s="1" t="str">
        <f>December!J33</f>
        <v>Asian</v>
      </c>
    </row>
    <row r="933">
      <c r="A933" s="1" t="str">
        <f>December!F34</f>
        <v>141861</v>
      </c>
      <c r="B933" s="1" t="str">
        <f>December!G34</f>
        <v>12/10/2023</v>
      </c>
      <c r="C933" s="1" t="str">
        <f>December!H34</f>
        <v>6/13/2005</v>
      </c>
      <c r="D933" s="1" t="str">
        <f>December!I34</f>
        <v>Gold</v>
      </c>
      <c r="E933" s="1" t="str">
        <f>December!J34</f>
        <v>Other</v>
      </c>
    </row>
    <row r="934">
      <c r="A934" s="1" t="str">
        <f>December!F35</f>
        <v>270858</v>
      </c>
      <c r="B934" s="1" t="str">
        <f>December!G35</f>
        <v>12/21/2023</v>
      </c>
      <c r="C934" s="1" t="str">
        <f>December!H35</f>
        <v>8/24/2004</v>
      </c>
      <c r="D934" s="1" t="str">
        <f>December!I35</f>
        <v>Basic</v>
      </c>
      <c r="E934" s="1" t="str">
        <f>December!J35</f>
        <v>Black</v>
      </c>
    </row>
    <row r="935">
      <c r="A935" s="1" t="str">
        <f>December!F36</f>
        <v>725107</v>
      </c>
      <c r="B935" s="1" t="str">
        <f>December!G36</f>
        <v>12/13/2023</v>
      </c>
      <c r="C935" s="1" t="str">
        <f>December!H36</f>
        <v>5/7/1991</v>
      </c>
      <c r="D935" s="1" t="str">
        <f>December!I36</f>
        <v>Gold</v>
      </c>
      <c r="E935" s="1" t="str">
        <f>December!J36</f>
        <v>Black</v>
      </c>
    </row>
    <row r="936">
      <c r="A936" s="1" t="str">
        <f>December!F37</f>
        <v>602470</v>
      </c>
      <c r="B936" s="1" t="str">
        <f>December!G37</f>
        <v>12/22/2023</v>
      </c>
      <c r="C936" s="1" t="str">
        <f>December!H37</f>
        <v>7/12/2018</v>
      </c>
      <c r="D936" s="1" t="str">
        <f>December!I37</f>
        <v>Gold</v>
      </c>
      <c r="E936" s="1" t="str">
        <f>December!J37</f>
        <v>Black</v>
      </c>
    </row>
    <row r="937">
      <c r="A937" s="1" t="str">
        <f>December!F38</f>
        <v>983034</v>
      </c>
      <c r="B937" s="1" t="str">
        <f>December!G38</f>
        <v>12/6/2023</v>
      </c>
      <c r="C937" s="1" t="str">
        <f>December!H38</f>
        <v>11/13/1972</v>
      </c>
      <c r="D937" s="1" t="str">
        <f>December!I38</f>
        <v>Platinum</v>
      </c>
      <c r="E937" s="1" t="str">
        <f>December!J38</f>
        <v>Asian</v>
      </c>
    </row>
    <row r="938">
      <c r="A938" s="1" t="str">
        <f>December!F39</f>
        <v>521080</v>
      </c>
      <c r="B938" s="1" t="str">
        <f>December!G39</f>
        <v>12/27/2023</v>
      </c>
      <c r="C938" s="1" t="str">
        <f>December!H39</f>
        <v>4/26/1999</v>
      </c>
      <c r="D938" s="1" t="str">
        <f>December!I39</f>
        <v>Platinum</v>
      </c>
      <c r="E938" s="1" t="str">
        <f>December!J39</f>
        <v>Black</v>
      </c>
    </row>
    <row r="939">
      <c r="A939" s="1" t="str">
        <f>December!F40</f>
        <v>618817</v>
      </c>
      <c r="B939" s="1" t="str">
        <f>December!G40</f>
        <v>12/30/2023</v>
      </c>
      <c r="C939" s="1" t="str">
        <f>December!H40</f>
        <v>12/22/1950</v>
      </c>
      <c r="D939" s="1" t="str">
        <f>December!I40</f>
        <v>Gold</v>
      </c>
      <c r="E939" s="1" t="str">
        <f>December!J40</f>
        <v>Asian</v>
      </c>
    </row>
    <row r="940">
      <c r="A940" s="1" t="str">
        <f>December!F41</f>
        <v>203942</v>
      </c>
      <c r="B940" s="1" t="str">
        <f>December!G41</f>
        <v>12/28/2023</v>
      </c>
      <c r="C940" s="1" t="str">
        <f>December!H41</f>
        <v>8/27/2016</v>
      </c>
      <c r="D940" s="1" t="str">
        <f>December!I41</f>
        <v>Gold</v>
      </c>
      <c r="E940" s="1" t="str">
        <f>December!J41</f>
        <v>Asian</v>
      </c>
    </row>
    <row r="941">
      <c r="A941" s="1" t="str">
        <f>December!F42</f>
        <v>906500</v>
      </c>
      <c r="B941" s="1" t="str">
        <f>December!G42</f>
        <v>12/14/2023</v>
      </c>
      <c r="C941" s="1" t="str">
        <f>December!H42</f>
        <v>5/31/2007</v>
      </c>
      <c r="D941" s="1" t="str">
        <f>December!I42</f>
        <v>Platinum</v>
      </c>
      <c r="E941" s="1" t="str">
        <f>December!J42</f>
        <v>Other</v>
      </c>
    </row>
    <row r="942">
      <c r="A942" s="1" t="str">
        <f>December!F43</f>
        <v>230685</v>
      </c>
      <c r="B942" s="1" t="str">
        <f>December!G43</f>
        <v>12/21/2023</v>
      </c>
      <c r="C942" s="1" t="str">
        <f>December!H43</f>
        <v>2/17/1961</v>
      </c>
      <c r="D942" s="1" t="str">
        <f>December!I43</f>
        <v>Platinum</v>
      </c>
      <c r="E942" s="1" t="str">
        <f>December!J43</f>
        <v>Other</v>
      </c>
    </row>
    <row r="943">
      <c r="A943" s="1" t="str">
        <f>December!F44</f>
        <v>679893</v>
      </c>
      <c r="B943" s="1" t="str">
        <f>December!G44</f>
        <v>12/28/2023</v>
      </c>
      <c r="C943" s="1" t="str">
        <f>December!H44</f>
        <v>7/2/1951</v>
      </c>
      <c r="D943" s="1" t="str">
        <f>December!I44</f>
        <v>Basic</v>
      </c>
      <c r="E943" s="1" t="str">
        <f>December!J44</f>
        <v>Asian</v>
      </c>
    </row>
    <row r="944">
      <c r="A944" s="1" t="str">
        <f>December!F45</f>
        <v>714000</v>
      </c>
      <c r="B944" s="1" t="str">
        <f>December!G45</f>
        <v>12/28/2023</v>
      </c>
      <c r="C944" s="1" t="str">
        <f>December!H45</f>
        <v>11/8/1999</v>
      </c>
      <c r="D944" s="1" t="str">
        <f>December!I45</f>
        <v>Platinum</v>
      </c>
      <c r="E944" s="1" t="str">
        <f>December!J45</f>
        <v>White</v>
      </c>
    </row>
    <row r="945">
      <c r="A945" s="1" t="str">
        <f>December!F46</f>
        <v>421991</v>
      </c>
      <c r="B945" s="1" t="str">
        <f>December!G46</f>
        <v>12/17/2023</v>
      </c>
      <c r="C945" s="1" t="str">
        <f>December!H46</f>
        <v>9/9/1942</v>
      </c>
      <c r="D945" s="1" t="str">
        <f>December!I46</f>
        <v>Gold</v>
      </c>
      <c r="E945" s="1" t="str">
        <f>December!J46</f>
        <v>Other</v>
      </c>
    </row>
    <row r="946">
      <c r="A946" s="1" t="str">
        <f>December!F47</f>
        <v>548663</v>
      </c>
      <c r="B946" s="1" t="str">
        <f>December!G47</f>
        <v>12/4/2023</v>
      </c>
      <c r="C946" s="1" t="str">
        <f>December!H47</f>
        <v>5/31/1949</v>
      </c>
      <c r="D946" s="1" t="str">
        <f>December!I47</f>
        <v>Basic</v>
      </c>
      <c r="E946" s="1" t="str">
        <f>December!J47</f>
        <v>Asian</v>
      </c>
    </row>
    <row r="947">
      <c r="A947" s="1" t="str">
        <f>December!F48</f>
        <v>906366</v>
      </c>
      <c r="B947" s="1" t="str">
        <f>December!G48</f>
        <v>12/14/2023</v>
      </c>
      <c r="C947" s="1" t="str">
        <f>December!H48</f>
        <v>5/15/2015</v>
      </c>
      <c r="D947" s="1" t="str">
        <f>December!I48</f>
        <v>Gold</v>
      </c>
      <c r="E947" s="1" t="str">
        <f>December!J48</f>
        <v>Asian</v>
      </c>
    </row>
    <row r="948">
      <c r="A948" s="1" t="str">
        <f>December!F49</f>
        <v>140408</v>
      </c>
      <c r="B948" s="1" t="str">
        <f>December!G49</f>
        <v>12/23/2023</v>
      </c>
      <c r="C948" s="1" t="str">
        <f>December!H49</f>
        <v>3/17/1955</v>
      </c>
      <c r="D948" s="1" t="str">
        <f>December!I49</f>
        <v>Gold</v>
      </c>
      <c r="E948" s="1" t="str">
        <f>December!J49</f>
        <v>Black</v>
      </c>
    </row>
    <row r="949">
      <c r="A949" s="1" t="str">
        <f>December!F50</f>
        <v>759970</v>
      </c>
      <c r="B949" s="1" t="str">
        <f>December!G50</f>
        <v>12/8/2023</v>
      </c>
      <c r="C949" s="1" t="str">
        <f>December!H50</f>
        <v>8/22/1969</v>
      </c>
      <c r="D949" s="1" t="str">
        <f>December!I50</f>
        <v>Gold</v>
      </c>
      <c r="E949" s="1" t="str">
        <f>December!J50</f>
        <v>White</v>
      </c>
    </row>
    <row r="950">
      <c r="A950" s="1" t="str">
        <f>December!F51</f>
        <v>663205</v>
      </c>
      <c r="B950" s="1" t="str">
        <f>December!G51</f>
        <v>12/8/2023</v>
      </c>
      <c r="C950" s="1" t="str">
        <f>December!H51</f>
        <v>3/30/1981</v>
      </c>
      <c r="D950" s="1" t="str">
        <f>December!I51</f>
        <v>Platinum</v>
      </c>
      <c r="E950" s="1" t="str">
        <f>December!J51</f>
        <v>Black</v>
      </c>
    </row>
    <row r="951">
      <c r="A951" s="1" t="str">
        <f>December!F52</f>
        <v>441581</v>
      </c>
      <c r="B951" s="1" t="str">
        <f>December!G52</f>
        <v>12/1/2023</v>
      </c>
      <c r="C951" s="1" t="str">
        <f>December!H52</f>
        <v>7/6/2018</v>
      </c>
      <c r="D951" s="1" t="str">
        <f>December!I52</f>
        <v>Gold</v>
      </c>
      <c r="E951" s="1" t="str">
        <f>December!J52</f>
        <v>White</v>
      </c>
    </row>
    <row r="952">
      <c r="A952" s="1" t="str">
        <f>December!F53</f>
        <v>968967</v>
      </c>
      <c r="B952" s="1" t="str">
        <f>December!G53</f>
        <v>12/7/2023</v>
      </c>
      <c r="C952" s="1" t="str">
        <f>December!H53</f>
        <v>12/24/1992</v>
      </c>
      <c r="D952" s="1" t="str">
        <f>December!I53</f>
        <v>Gold</v>
      </c>
      <c r="E952" s="1" t="str">
        <f>December!J53</f>
        <v>Asian</v>
      </c>
    </row>
    <row r="953">
      <c r="A953" s="1" t="str">
        <f>December!F54</f>
        <v>226854</v>
      </c>
      <c r="B953" s="1" t="str">
        <f>December!G54</f>
        <v>12/7/2023</v>
      </c>
      <c r="C953" s="1" t="str">
        <f>December!H54</f>
        <v>8/3/1988</v>
      </c>
      <c r="D953" s="1" t="str">
        <f>December!I54</f>
        <v>Gold</v>
      </c>
      <c r="E953" s="1" t="str">
        <f>December!J54</f>
        <v>White</v>
      </c>
    </row>
    <row r="954">
      <c r="A954" s="1" t="str">
        <f>December!F55</f>
        <v>314848</v>
      </c>
      <c r="B954" s="1" t="str">
        <f>December!G55</f>
        <v>12/14/2023</v>
      </c>
      <c r="C954" s="1" t="str">
        <f>December!H55</f>
        <v>11/30/2015</v>
      </c>
      <c r="D954" s="1" t="str">
        <f>December!I55</f>
        <v>Gold</v>
      </c>
      <c r="E954" s="1" t="str">
        <f>December!J55</f>
        <v>Asian</v>
      </c>
    </row>
    <row r="955">
      <c r="A955" s="1" t="str">
        <f>December!F56</f>
        <v>471152</v>
      </c>
      <c r="B955" s="1" t="str">
        <f>December!G56</f>
        <v>12/15/2023</v>
      </c>
      <c r="C955" s="1" t="str">
        <f>December!H56</f>
        <v>9/29/1990</v>
      </c>
      <c r="D955" s="1" t="str">
        <f>December!I56</f>
        <v>Platinum</v>
      </c>
      <c r="E955" s="1" t="str">
        <f>December!J56</f>
        <v>Asian</v>
      </c>
    </row>
    <row r="956">
      <c r="A956" s="1" t="str">
        <f>December!F57</f>
        <v>868193</v>
      </c>
      <c r="B956" s="1" t="str">
        <f>December!G57</f>
        <v>12/14/2023</v>
      </c>
      <c r="C956" s="1" t="str">
        <f>December!H57</f>
        <v>9/11/1948</v>
      </c>
      <c r="D956" s="1" t="str">
        <f>December!I57</f>
        <v>Basic</v>
      </c>
      <c r="E956" s="1" t="str">
        <f>December!J57</f>
        <v>White</v>
      </c>
    </row>
    <row r="957">
      <c r="A957" s="1" t="str">
        <f>December!F58</f>
        <v>853101</v>
      </c>
      <c r="B957" s="1" t="str">
        <f>December!G58</f>
        <v>12/8/2023</v>
      </c>
      <c r="C957" s="1" t="str">
        <f>December!H58</f>
        <v>4/13/1984</v>
      </c>
      <c r="D957" s="1" t="str">
        <f>December!I58</f>
        <v>Basic</v>
      </c>
      <c r="E957" s="1" t="str">
        <f>December!J58</f>
        <v>Other</v>
      </c>
    </row>
    <row r="958">
      <c r="A958" s="1" t="str">
        <f>December!F59</f>
        <v>649104</v>
      </c>
      <c r="B958" s="1" t="str">
        <f>December!G59</f>
        <v>12/17/2023</v>
      </c>
      <c r="C958" s="1" t="str">
        <f>December!H59</f>
        <v>3/5/1946</v>
      </c>
      <c r="D958" s="1" t="str">
        <f>December!I59</f>
        <v>Platinum</v>
      </c>
      <c r="E958" s="1" t="str">
        <f>December!J59</f>
        <v>Other</v>
      </c>
    </row>
    <row r="959">
      <c r="A959" s="1" t="str">
        <f>December!F60</f>
        <v>376499</v>
      </c>
      <c r="B959" s="1" t="str">
        <f>December!G60</f>
        <v>12/6/2023</v>
      </c>
      <c r="C959" s="1" t="str">
        <f>December!H60</f>
        <v>1/27/1969</v>
      </c>
      <c r="D959" s="1" t="str">
        <f>December!I60</f>
        <v>Platinum</v>
      </c>
      <c r="E959" s="1" t="str">
        <f>December!J60</f>
        <v>Asian</v>
      </c>
    </row>
    <row r="960">
      <c r="A960" s="1" t="str">
        <f>December!F61</f>
        <v>657908</v>
      </c>
      <c r="B960" s="1" t="str">
        <f>December!G61</f>
        <v>12/19/2023</v>
      </c>
      <c r="C960" s="1" t="str">
        <f>December!H61</f>
        <v>8/21/1973</v>
      </c>
      <c r="D960" s="1" t="str">
        <f>December!I61</f>
        <v>Platinum</v>
      </c>
      <c r="E960" s="1" t="str">
        <f>December!J61</f>
        <v>Asian</v>
      </c>
    </row>
    <row r="961">
      <c r="A961" s="1" t="str">
        <f>December!F62</f>
        <v>855858</v>
      </c>
      <c r="B961" s="1" t="str">
        <f>December!G62</f>
        <v>12/15/2023</v>
      </c>
      <c r="C961" s="1" t="str">
        <f>December!H62</f>
        <v>11/20/1959</v>
      </c>
      <c r="D961" s="1" t="str">
        <f>December!I62</f>
        <v>Platinum</v>
      </c>
      <c r="E961" s="1" t="str">
        <f>December!J62</f>
        <v>White</v>
      </c>
    </row>
    <row r="962">
      <c r="A962" s="1" t="str">
        <f>December!F63</f>
        <v>128635</v>
      </c>
      <c r="B962" s="1" t="str">
        <f>December!G63</f>
        <v>12/12/2023</v>
      </c>
      <c r="C962" s="1" t="str">
        <f>December!H63</f>
        <v>6/16/2012</v>
      </c>
      <c r="D962" s="1" t="str">
        <f>December!I63</f>
        <v>Basic</v>
      </c>
      <c r="E962" s="1" t="str">
        <f>December!J63</f>
        <v>Asian</v>
      </c>
    </row>
    <row r="963">
      <c r="A963" s="1" t="str">
        <f>December!F64</f>
        <v>864964</v>
      </c>
      <c r="B963" s="1" t="str">
        <f>December!G64</f>
        <v>12/16/2023</v>
      </c>
      <c r="C963" s="1" t="str">
        <f>December!H64</f>
        <v>1/8/1973</v>
      </c>
      <c r="D963" s="1" t="str">
        <f>December!I64</f>
        <v>Platinum</v>
      </c>
      <c r="E963" s="1" t="str">
        <f>December!J64</f>
        <v>Black</v>
      </c>
    </row>
    <row r="964">
      <c r="A964" s="1" t="str">
        <f>December!F65</f>
        <v>704688</v>
      </c>
      <c r="B964" s="1" t="str">
        <f>December!G65</f>
        <v>12/28/2023</v>
      </c>
      <c r="C964" s="1" t="str">
        <f>December!H65</f>
        <v>1/2/2017</v>
      </c>
      <c r="D964" s="1" t="str">
        <f>December!I65</f>
        <v>Basic</v>
      </c>
      <c r="E964" s="1" t="str">
        <f>December!J65</f>
        <v>Other</v>
      </c>
    </row>
    <row r="965">
      <c r="A965" s="1" t="str">
        <f>December!F66</f>
        <v>130835</v>
      </c>
      <c r="B965" s="1" t="str">
        <f>December!G66</f>
        <v>12/4/2023</v>
      </c>
      <c r="C965" s="1" t="str">
        <f>December!H66</f>
        <v>6/7/1984</v>
      </c>
      <c r="D965" s="1" t="str">
        <f>December!I66</f>
        <v>Basic</v>
      </c>
      <c r="E965" s="1" t="str">
        <f>December!J66</f>
        <v>White</v>
      </c>
    </row>
    <row r="966">
      <c r="A966" s="1" t="str">
        <f>December!F67</f>
        <v>135215</v>
      </c>
      <c r="B966" s="1" t="str">
        <f>December!G67</f>
        <v>12/23/2023</v>
      </c>
      <c r="C966" s="1" t="str">
        <f>December!H67</f>
        <v>2/18/1955</v>
      </c>
      <c r="D966" s="1" t="str">
        <f>December!I67</f>
        <v>Platinum</v>
      </c>
      <c r="E966" s="1" t="str">
        <f>December!J67</f>
        <v>Other</v>
      </c>
    </row>
    <row r="967">
      <c r="A967" s="1" t="str">
        <f>December!F68</f>
        <v>537959</v>
      </c>
      <c r="B967" s="1" t="str">
        <f>December!G68</f>
        <v>12/12/2023</v>
      </c>
      <c r="C967" s="1" t="str">
        <f>December!H68</f>
        <v>10/23/2017</v>
      </c>
      <c r="D967" s="1" t="str">
        <f>December!I68</f>
        <v>Gold</v>
      </c>
      <c r="E967" s="1" t="str">
        <f>December!J68</f>
        <v>Black</v>
      </c>
    </row>
    <row r="968">
      <c r="A968" s="1" t="str">
        <f>December!F69</f>
        <v>461508</v>
      </c>
      <c r="B968" s="1" t="str">
        <f>December!G69</f>
        <v>12/2/2023</v>
      </c>
      <c r="C968" s="1" t="str">
        <f>December!H69</f>
        <v>7/12/1996</v>
      </c>
      <c r="D968" s="1" t="str">
        <f>December!I69</f>
        <v>Gold</v>
      </c>
      <c r="E968" s="1" t="str">
        <f>December!J69</f>
        <v>Other</v>
      </c>
    </row>
    <row r="969">
      <c r="A969" s="1" t="str">
        <f>December!F70</f>
        <v>765987</v>
      </c>
      <c r="B969" s="1" t="str">
        <f>December!G70</f>
        <v>12/22/2023</v>
      </c>
      <c r="C969" s="1" t="str">
        <f>December!H70</f>
        <v>6/25/1989</v>
      </c>
      <c r="D969" s="1" t="str">
        <f>December!I70</f>
        <v>Platinum</v>
      </c>
      <c r="E969" s="1" t="str">
        <f>December!J70</f>
        <v>Black</v>
      </c>
    </row>
    <row r="970">
      <c r="A970" s="1" t="str">
        <f>December!F71</f>
        <v>607350</v>
      </c>
      <c r="B970" s="1" t="str">
        <f>December!G71</f>
        <v>12/22/2023</v>
      </c>
      <c r="C970" s="1" t="str">
        <f>December!H71</f>
        <v>5/12/1972</v>
      </c>
      <c r="D970" s="1" t="str">
        <f>December!I71</f>
        <v>Gold</v>
      </c>
      <c r="E970" s="1" t="str">
        <f>December!J71</f>
        <v>Other</v>
      </c>
    </row>
    <row r="971">
      <c r="A971" s="1" t="str">
        <f>December!F72</f>
        <v>594256</v>
      </c>
      <c r="B971" s="1" t="str">
        <f>December!G72</f>
        <v>12/25/2023</v>
      </c>
      <c r="C971" s="1" t="str">
        <f>December!H72</f>
        <v>3/6/1989</v>
      </c>
      <c r="D971" s="1" t="str">
        <f>December!I72</f>
        <v>Gold</v>
      </c>
      <c r="E971" s="1" t="str">
        <f>December!J72</f>
        <v>Other</v>
      </c>
    </row>
    <row r="972">
      <c r="A972" s="1" t="str">
        <f>December!F73</f>
        <v>554998</v>
      </c>
      <c r="B972" s="1" t="str">
        <f>December!G73</f>
        <v>12/16/2023</v>
      </c>
      <c r="C972" s="1" t="str">
        <f>December!H73</f>
        <v>11/6/1997</v>
      </c>
      <c r="D972" s="1" t="str">
        <f>December!I73</f>
        <v>Platinum</v>
      </c>
      <c r="E972" s="1" t="str">
        <f>December!J73</f>
        <v>Black</v>
      </c>
    </row>
    <row r="973">
      <c r="A973" s="1" t="str">
        <f>December!F74</f>
        <v>305736</v>
      </c>
      <c r="B973" s="1" t="str">
        <f>December!G74</f>
        <v>12/16/2023</v>
      </c>
      <c r="C973" s="1" t="str">
        <f>December!H74</f>
        <v>8/15/1978</v>
      </c>
      <c r="D973" s="1" t="str">
        <f>December!I74</f>
        <v>Basic</v>
      </c>
      <c r="E973" s="1" t="str">
        <f>December!J74</f>
        <v>Asian</v>
      </c>
    </row>
    <row r="974">
      <c r="A974" s="1" t="str">
        <f>December!F75</f>
        <v>237507</v>
      </c>
      <c r="B974" s="1" t="str">
        <f>December!G75</f>
        <v>12/2/2023</v>
      </c>
      <c r="C974" s="1" t="str">
        <f>December!H75</f>
        <v>4/6/1944</v>
      </c>
      <c r="D974" s="1" t="str">
        <f>December!I75</f>
        <v>Basic</v>
      </c>
      <c r="E974" s="1" t="str">
        <f>December!J75</f>
        <v>Black</v>
      </c>
    </row>
    <row r="975">
      <c r="A975" s="1" t="str">
        <f>December!F76</f>
        <v>187833</v>
      </c>
      <c r="B975" s="1" t="str">
        <f>December!G76</f>
        <v>12/20/2023</v>
      </c>
      <c r="C975" s="1" t="str">
        <f>December!H76</f>
        <v>4/8/1992</v>
      </c>
      <c r="D975" s="1" t="str">
        <f>December!I76</f>
        <v>Basic</v>
      </c>
      <c r="E975" s="1" t="str">
        <f>December!J76</f>
        <v>Other</v>
      </c>
    </row>
    <row r="976">
      <c r="A976" s="1" t="str">
        <f>December!F77</f>
        <v>694973</v>
      </c>
      <c r="B976" s="1" t="str">
        <f>December!G77</f>
        <v>12/21/2023</v>
      </c>
      <c r="C976" s="1" t="str">
        <f>December!H77</f>
        <v>10/24/2017</v>
      </c>
      <c r="D976" s="1" t="str">
        <f>December!I77</f>
        <v>Platinum</v>
      </c>
      <c r="E976" s="1" t="str">
        <f>December!J77</f>
        <v>Other</v>
      </c>
    </row>
    <row r="977">
      <c r="A977" s="1" t="str">
        <f>December!F78</f>
        <v>334199</v>
      </c>
      <c r="B977" s="1" t="str">
        <f>December!G78</f>
        <v>12/5/2023</v>
      </c>
      <c r="C977" s="1" t="str">
        <f>December!H78</f>
        <v>5/11/2003</v>
      </c>
      <c r="D977" s="1" t="str">
        <f>December!I78</f>
        <v>Gold</v>
      </c>
      <c r="E977" s="1" t="str">
        <f>December!J78</f>
        <v>White</v>
      </c>
    </row>
    <row r="978">
      <c r="A978" s="1" t="str">
        <f>December!F79</f>
        <v>801415</v>
      </c>
      <c r="B978" s="1" t="str">
        <f>December!G79</f>
        <v>12/2/2023</v>
      </c>
      <c r="C978" s="1" t="str">
        <f>December!H79</f>
        <v>7/7/2010</v>
      </c>
      <c r="D978" s="1" t="str">
        <f>December!I79</f>
        <v>Gold</v>
      </c>
      <c r="E978" s="1" t="str">
        <f>December!J79</f>
        <v>Asian</v>
      </c>
    </row>
    <row r="979">
      <c r="A979" s="1" t="str">
        <f>December!F80</f>
        <v>560261</v>
      </c>
      <c r="B979" s="1" t="str">
        <f>December!G80</f>
        <v>12/15/2023</v>
      </c>
      <c r="C979" s="1" t="str">
        <f>December!H80</f>
        <v>3/4/1949</v>
      </c>
      <c r="D979" s="1" t="str">
        <f>December!I80</f>
        <v>Platinum</v>
      </c>
      <c r="E979" s="1" t="str">
        <f>December!J80</f>
        <v>Black</v>
      </c>
    </row>
    <row r="980">
      <c r="A980" s="1" t="str">
        <f>December!F81</f>
        <v>947772</v>
      </c>
      <c r="B980" s="1" t="str">
        <f>December!G81</f>
        <v>12/27/2023</v>
      </c>
      <c r="C980" s="1" t="str">
        <f>December!H81</f>
        <v>9/14/1964</v>
      </c>
      <c r="D980" s="1" t="str">
        <f>December!I81</f>
        <v>Gold</v>
      </c>
      <c r="E980" s="1" t="str">
        <f>December!J81</f>
        <v>Asian</v>
      </c>
    </row>
    <row r="981">
      <c r="A981" s="1" t="str">
        <f>December!F82</f>
        <v>923843</v>
      </c>
      <c r="B981" s="1" t="str">
        <f>December!G82</f>
        <v>12/24/2023</v>
      </c>
      <c r="C981" s="1" t="str">
        <f>December!H82</f>
        <v>12/11/2015</v>
      </c>
      <c r="D981" s="1" t="str">
        <f>December!I82</f>
        <v>Gold</v>
      </c>
      <c r="E981" s="1" t="str">
        <f>December!J82</f>
        <v>White</v>
      </c>
    </row>
    <row r="982">
      <c r="A982" s="1" t="str">
        <f>December!F83</f>
        <v>480246</v>
      </c>
      <c r="B982" s="1" t="str">
        <f>December!G83</f>
        <v>12/8/2023</v>
      </c>
      <c r="C982" s="1" t="str">
        <f>December!H83</f>
        <v>4/13/1982</v>
      </c>
      <c r="D982" s="1" t="str">
        <f>December!I83</f>
        <v>Platinum</v>
      </c>
      <c r="E982" s="1" t="str">
        <f>December!J83</f>
        <v>Asian</v>
      </c>
    </row>
    <row r="983">
      <c r="A983" s="1" t="str">
        <f>December!F84</f>
        <v>716900</v>
      </c>
      <c r="B983" s="1" t="str">
        <f>December!G84</f>
        <v>12/18/2023</v>
      </c>
      <c r="C983" s="1" t="str">
        <f>December!H84</f>
        <v>9/30/2003</v>
      </c>
      <c r="D983" s="1" t="str">
        <f>December!I84</f>
        <v>Gold</v>
      </c>
      <c r="E983" s="1" t="str">
        <f>December!J84</f>
        <v>Asian</v>
      </c>
    </row>
    <row r="984">
      <c r="A984" s="1" t="str">
        <f>December!F85</f>
        <v>592566</v>
      </c>
      <c r="B984" s="1" t="str">
        <f>December!G85</f>
        <v>12/30/2023</v>
      </c>
      <c r="C984" s="1" t="str">
        <f>December!H85</f>
        <v>5/8/1989</v>
      </c>
      <c r="D984" s="1" t="str">
        <f>December!I85</f>
        <v>Basic</v>
      </c>
      <c r="E984" s="1" t="str">
        <f>December!J85</f>
        <v>Asian</v>
      </c>
    </row>
    <row r="985">
      <c r="A985" s="1" t="str">
        <f>December!F86</f>
        <v>119168</v>
      </c>
      <c r="B985" s="1" t="str">
        <f>December!G86</f>
        <v>12/15/2023</v>
      </c>
      <c r="C985" s="1" t="str">
        <f>December!H86</f>
        <v>4/15/2015</v>
      </c>
      <c r="D985" s="1" t="str">
        <f>December!I86</f>
        <v>Basic</v>
      </c>
      <c r="E985" s="1" t="str">
        <f>December!J86</f>
        <v>Asian</v>
      </c>
    </row>
    <row r="986">
      <c r="A986" s="1" t="str">
        <f>December!F87</f>
        <v>970548</v>
      </c>
      <c r="B986" s="1" t="str">
        <f>December!G87</f>
        <v>12/12/2023</v>
      </c>
      <c r="C986" s="1" t="str">
        <f>December!H87</f>
        <v>5/9/1996</v>
      </c>
      <c r="D986" s="1" t="str">
        <f>December!I87</f>
        <v>Platinum</v>
      </c>
      <c r="E986" s="1" t="str">
        <f>December!J87</f>
        <v>Asian</v>
      </c>
    </row>
    <row r="987">
      <c r="A987" s="1" t="str">
        <f>December!F88</f>
        <v>569923</v>
      </c>
      <c r="B987" s="1" t="str">
        <f>December!G88</f>
        <v>12/4/2023</v>
      </c>
      <c r="C987" s="1" t="str">
        <f>December!H88</f>
        <v>12/30/1975</v>
      </c>
      <c r="D987" s="1" t="str">
        <f>December!I88</f>
        <v>Gold</v>
      </c>
      <c r="E987" s="1" t="str">
        <f>December!J88</f>
        <v>Other</v>
      </c>
    </row>
    <row r="988">
      <c r="A988" s="1" t="str">
        <f>December!F89</f>
        <v>354147</v>
      </c>
      <c r="B988" s="1" t="str">
        <f>December!G89</f>
        <v>12/20/2023</v>
      </c>
      <c r="C988" s="1" t="str">
        <f>December!H89</f>
        <v>4/14/2019</v>
      </c>
      <c r="D988" s="1" t="str">
        <f>December!I89</f>
        <v>Gold</v>
      </c>
      <c r="E988" s="1" t="str">
        <f>December!J89</f>
        <v>Black</v>
      </c>
    </row>
    <row r="989">
      <c r="A989" s="1" t="str">
        <f>December!F90</f>
        <v>174699</v>
      </c>
      <c r="B989" s="1" t="str">
        <f>December!G90</f>
        <v>12/2/2023</v>
      </c>
      <c r="C989" s="1" t="str">
        <f>December!H90</f>
        <v>3/13/1989</v>
      </c>
      <c r="D989" s="1" t="str">
        <f>December!I90</f>
        <v>Gold</v>
      </c>
      <c r="E989" s="1" t="str">
        <f>December!J90</f>
        <v>Asian</v>
      </c>
    </row>
    <row r="990">
      <c r="A990" s="1" t="str">
        <f>December!F91</f>
        <v>514598</v>
      </c>
      <c r="B990" s="1" t="str">
        <f>December!G91</f>
        <v>12/28/2023</v>
      </c>
      <c r="C990" s="1" t="str">
        <f>December!H91</f>
        <v>10/10/1971</v>
      </c>
      <c r="D990" s="1" t="str">
        <f>December!I91</f>
        <v>Platinum</v>
      </c>
      <c r="E990" s="1" t="str">
        <f>December!J91</f>
        <v>Other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1.57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7</v>
      </c>
    </row>
    <row r="2" ht="14.25" customHeight="1">
      <c r="A2" s="1" t="s">
        <v>181</v>
      </c>
      <c r="B2" s="1" t="s">
        <v>182</v>
      </c>
      <c r="C2" s="1" t="s">
        <v>7</v>
      </c>
      <c r="D2" s="1" t="s">
        <v>13</v>
      </c>
      <c r="F2" s="1" t="str">
        <f>IFERROR(__xludf.DUMMYFUNCTION("UNIQUE(A2:A1000)"),"473692")</f>
        <v>473692</v>
      </c>
      <c r="G2" s="1" t="str">
        <f t="shared" ref="G2:G86" si="1">CONCATENATE("02","/",VLOOKUP(F2, A2:D1000, 2, false),"/",2023)</f>
        <v>02/20/2023</v>
      </c>
      <c r="H2" s="1" t="str">
        <f t="shared" ref="H2:H86" si="2">INDEX(D:D, MATCH(1, ($A:$A = $F2) * ($C:$C = $H$1), 0))</f>
        <v>3/23/2012</v>
      </c>
      <c r="I2" s="1" t="str">
        <f t="shared" ref="I2:I86" si="3">INDEX(D:D, MATCH(1, ($A:$A = $F2) * ($C:$C = $I$1), 0))</f>
        <v>Basic</v>
      </c>
      <c r="J2" s="1" t="str">
        <f t="shared" ref="J2:J86" si="4">INDEX(D:D, MATCH(1, ($A:$A = $F2) * ($C:$C = $J$1), 0))</f>
        <v>White</v>
      </c>
    </row>
    <row r="3" ht="14.25" customHeight="1">
      <c r="A3" s="1" t="s">
        <v>181</v>
      </c>
      <c r="B3" s="1" t="s">
        <v>182</v>
      </c>
      <c r="C3" s="1" t="s">
        <v>5</v>
      </c>
      <c r="D3" s="1" t="s">
        <v>183</v>
      </c>
      <c r="F3" s="1" t="str">
        <f>IFERROR(__xludf.DUMMYFUNCTION("""COMPUTED_VALUE"""),"150853")</f>
        <v>150853</v>
      </c>
      <c r="G3" s="1" t="str">
        <f t="shared" si="1"/>
        <v>02/5/2023</v>
      </c>
      <c r="H3" s="1" t="str">
        <f t="shared" si="2"/>
        <v>7/9/1991</v>
      </c>
      <c r="I3" s="1" t="str">
        <f t="shared" si="3"/>
        <v>Basic</v>
      </c>
      <c r="J3" s="1" t="str">
        <f t="shared" si="4"/>
        <v>Other</v>
      </c>
    </row>
    <row r="4" ht="14.25" customHeight="1">
      <c r="A4" s="1" t="s">
        <v>181</v>
      </c>
      <c r="B4" s="1" t="s">
        <v>182</v>
      </c>
      <c r="C4" s="1" t="s">
        <v>6</v>
      </c>
      <c r="D4" s="1" t="s">
        <v>21</v>
      </c>
      <c r="F4" s="1" t="str">
        <f>IFERROR(__xludf.DUMMYFUNCTION("""COMPUTED_VALUE"""),"627428")</f>
        <v>627428</v>
      </c>
      <c r="G4" s="1" t="str">
        <f t="shared" si="1"/>
        <v>02/1/2023</v>
      </c>
      <c r="H4" s="1" t="str">
        <f t="shared" si="2"/>
        <v>11/5/2018</v>
      </c>
      <c r="I4" s="1" t="str">
        <f t="shared" si="3"/>
        <v>Platinum</v>
      </c>
      <c r="J4" s="1" t="str">
        <f t="shared" si="4"/>
        <v>White</v>
      </c>
    </row>
    <row r="5" ht="14.25" customHeight="1">
      <c r="A5" s="1" t="s">
        <v>184</v>
      </c>
      <c r="B5" s="1" t="s">
        <v>185</v>
      </c>
      <c r="C5" s="1" t="s">
        <v>7</v>
      </c>
      <c r="D5" s="1" t="s">
        <v>9</v>
      </c>
      <c r="F5" s="1" t="str">
        <f>IFERROR(__xludf.DUMMYFUNCTION("""COMPUTED_VALUE"""),"606864")</f>
        <v>606864</v>
      </c>
      <c r="G5" s="1" t="str">
        <f t="shared" si="1"/>
        <v>02/8/2023</v>
      </c>
      <c r="H5" s="1" t="str">
        <f t="shared" si="2"/>
        <v>10/5/1945</v>
      </c>
      <c r="I5" s="1" t="str">
        <f t="shared" si="3"/>
        <v>Platinum</v>
      </c>
      <c r="J5" s="1" t="str">
        <f t="shared" si="4"/>
        <v>Other</v>
      </c>
    </row>
    <row r="6" ht="14.25" customHeight="1">
      <c r="A6" s="1" t="s">
        <v>184</v>
      </c>
      <c r="B6" s="1" t="s">
        <v>185</v>
      </c>
      <c r="C6" s="1" t="s">
        <v>5</v>
      </c>
      <c r="D6" s="1" t="s">
        <v>186</v>
      </c>
      <c r="F6" s="1" t="str">
        <f>IFERROR(__xludf.DUMMYFUNCTION("""COMPUTED_VALUE"""),"664634")</f>
        <v>664634</v>
      </c>
      <c r="G6" s="1" t="str">
        <f t="shared" si="1"/>
        <v>02/6/2023</v>
      </c>
      <c r="H6" s="1" t="str">
        <f t="shared" si="2"/>
        <v>3/5/1952</v>
      </c>
      <c r="I6" s="1" t="str">
        <f t="shared" si="3"/>
        <v>Basic</v>
      </c>
      <c r="J6" s="1" t="str">
        <f t="shared" si="4"/>
        <v>Black</v>
      </c>
    </row>
    <row r="7" ht="14.25" customHeight="1">
      <c r="A7" s="1" t="s">
        <v>184</v>
      </c>
      <c r="B7" s="1" t="s">
        <v>185</v>
      </c>
      <c r="C7" s="1" t="s">
        <v>6</v>
      </c>
      <c r="D7" s="1" t="s">
        <v>21</v>
      </c>
      <c r="F7" s="1" t="str">
        <f>IFERROR(__xludf.DUMMYFUNCTION("""COMPUTED_VALUE"""),"315439")</f>
        <v>315439</v>
      </c>
      <c r="G7" s="1" t="str">
        <f t="shared" si="1"/>
        <v>02/9/2023</v>
      </c>
      <c r="H7" s="1" t="str">
        <f t="shared" si="2"/>
        <v>5/23/1999</v>
      </c>
      <c r="I7" s="1" t="str">
        <f t="shared" si="3"/>
        <v>Basic</v>
      </c>
      <c r="J7" s="1" t="str">
        <f t="shared" si="4"/>
        <v>White</v>
      </c>
    </row>
    <row r="8" ht="14.25" customHeight="1">
      <c r="A8" s="1" t="s">
        <v>187</v>
      </c>
      <c r="B8" s="1" t="s">
        <v>188</v>
      </c>
      <c r="C8" s="1" t="s">
        <v>7</v>
      </c>
      <c r="D8" s="1" t="s">
        <v>13</v>
      </c>
      <c r="F8" s="1" t="str">
        <f>IFERROR(__xludf.DUMMYFUNCTION("""COMPUTED_VALUE"""),"712911")</f>
        <v>712911</v>
      </c>
      <c r="G8" s="1" t="str">
        <f t="shared" si="1"/>
        <v>02/18/2023</v>
      </c>
      <c r="H8" s="1" t="str">
        <f t="shared" si="2"/>
        <v>6/5/1943</v>
      </c>
      <c r="I8" s="1" t="str">
        <f t="shared" si="3"/>
        <v>Gold</v>
      </c>
      <c r="J8" s="1" t="str">
        <f t="shared" si="4"/>
        <v>Other</v>
      </c>
    </row>
    <row r="9" ht="14.25" customHeight="1">
      <c r="A9" s="1" t="s">
        <v>187</v>
      </c>
      <c r="B9" s="1" t="s">
        <v>188</v>
      </c>
      <c r="C9" s="1" t="s">
        <v>5</v>
      </c>
      <c r="D9" s="1" t="s">
        <v>189</v>
      </c>
      <c r="F9" s="1" t="str">
        <f>IFERROR(__xludf.DUMMYFUNCTION("""COMPUTED_VALUE"""),"478020")</f>
        <v>478020</v>
      </c>
      <c r="G9" s="1" t="str">
        <f t="shared" si="1"/>
        <v>02/27/2023</v>
      </c>
      <c r="H9" s="1" t="str">
        <f t="shared" si="2"/>
        <v>5/16/1987</v>
      </c>
      <c r="I9" s="1" t="str">
        <f t="shared" si="3"/>
        <v>Gold</v>
      </c>
      <c r="J9" s="1" t="str">
        <f t="shared" si="4"/>
        <v>Black</v>
      </c>
    </row>
    <row r="10" ht="14.25" customHeight="1">
      <c r="A10" s="1" t="s">
        <v>187</v>
      </c>
      <c r="B10" s="1" t="s">
        <v>188</v>
      </c>
      <c r="C10" s="1" t="s">
        <v>6</v>
      </c>
      <c r="D10" s="1" t="s">
        <v>11</v>
      </c>
      <c r="F10" s="1" t="str">
        <f>IFERROR(__xludf.DUMMYFUNCTION("""COMPUTED_VALUE"""),"366334")</f>
        <v>366334</v>
      </c>
      <c r="G10" s="1" t="str">
        <f t="shared" si="1"/>
        <v>02/5/2023</v>
      </c>
      <c r="H10" s="1" t="str">
        <f t="shared" si="2"/>
        <v>10/15/1996</v>
      </c>
      <c r="I10" s="1" t="str">
        <f t="shared" si="3"/>
        <v>Platinum</v>
      </c>
      <c r="J10" s="1" t="str">
        <f t="shared" si="4"/>
        <v>Other</v>
      </c>
    </row>
    <row r="11" ht="14.25" customHeight="1">
      <c r="A11" s="1" t="s">
        <v>190</v>
      </c>
      <c r="B11" s="1" t="s">
        <v>191</v>
      </c>
      <c r="C11" s="1" t="s">
        <v>7</v>
      </c>
      <c r="D11" s="1" t="s">
        <v>9</v>
      </c>
      <c r="F11" s="1" t="str">
        <f>IFERROR(__xludf.DUMMYFUNCTION("""COMPUTED_VALUE"""),"978930")</f>
        <v>978930</v>
      </c>
      <c r="G11" s="1" t="str">
        <f t="shared" si="1"/>
        <v>02/25/2023</v>
      </c>
      <c r="H11" s="1" t="str">
        <f t="shared" si="2"/>
        <v>3/27/2016</v>
      </c>
      <c r="I11" s="1" t="str">
        <f t="shared" si="3"/>
        <v>Basic</v>
      </c>
      <c r="J11" s="1" t="str">
        <f t="shared" si="4"/>
        <v>Asian</v>
      </c>
    </row>
    <row r="12" ht="14.25" customHeight="1">
      <c r="A12" s="1" t="s">
        <v>190</v>
      </c>
      <c r="B12" s="1" t="s">
        <v>191</v>
      </c>
      <c r="C12" s="1" t="s">
        <v>5</v>
      </c>
      <c r="D12" s="1" t="s">
        <v>192</v>
      </c>
      <c r="F12" s="1" t="str">
        <f>IFERROR(__xludf.DUMMYFUNCTION("""COMPUTED_VALUE"""),"898177")</f>
        <v>898177</v>
      </c>
      <c r="G12" s="1" t="str">
        <f t="shared" si="1"/>
        <v>02/28/2023</v>
      </c>
      <c r="H12" s="1" t="str">
        <f t="shared" si="2"/>
        <v>10/13/1975</v>
      </c>
      <c r="I12" s="1" t="str">
        <f t="shared" si="3"/>
        <v>Platinum</v>
      </c>
      <c r="J12" s="1" t="str">
        <f t="shared" si="4"/>
        <v>Asian</v>
      </c>
    </row>
    <row r="13" ht="14.25" customHeight="1">
      <c r="A13" s="1" t="s">
        <v>190</v>
      </c>
      <c r="B13" s="1" t="s">
        <v>191</v>
      </c>
      <c r="C13" s="1" t="s">
        <v>6</v>
      </c>
      <c r="D13" s="1" t="s">
        <v>11</v>
      </c>
      <c r="F13" s="1" t="str">
        <f>IFERROR(__xludf.DUMMYFUNCTION("""COMPUTED_VALUE"""),"938610")</f>
        <v>938610</v>
      </c>
      <c r="G13" s="1" t="str">
        <f t="shared" si="1"/>
        <v>02/14/2023</v>
      </c>
      <c r="H13" s="1" t="str">
        <f t="shared" si="2"/>
        <v>11/18/2006</v>
      </c>
      <c r="I13" s="1" t="str">
        <f t="shared" si="3"/>
        <v>Platinum</v>
      </c>
      <c r="J13" s="1" t="str">
        <f t="shared" si="4"/>
        <v>Other</v>
      </c>
    </row>
    <row r="14" ht="14.25" customHeight="1">
      <c r="A14" s="1" t="s">
        <v>193</v>
      </c>
      <c r="B14" s="1" t="s">
        <v>194</v>
      </c>
      <c r="C14" s="1" t="s">
        <v>7</v>
      </c>
      <c r="D14" s="1" t="s">
        <v>25</v>
      </c>
      <c r="F14" s="1" t="str">
        <f>IFERROR(__xludf.DUMMYFUNCTION("""COMPUTED_VALUE"""),"624601")</f>
        <v>624601</v>
      </c>
      <c r="G14" s="1" t="str">
        <f t="shared" si="1"/>
        <v>02/18/2023</v>
      </c>
      <c r="H14" s="1" t="str">
        <f t="shared" si="2"/>
        <v>4/20/1991</v>
      </c>
      <c r="I14" s="1" t="str">
        <f t="shared" si="3"/>
        <v>Gold</v>
      </c>
      <c r="J14" s="1" t="str">
        <f t="shared" si="4"/>
        <v>Other</v>
      </c>
    </row>
    <row r="15" ht="14.25" customHeight="1">
      <c r="A15" s="1" t="s">
        <v>193</v>
      </c>
      <c r="B15" s="1" t="s">
        <v>194</v>
      </c>
      <c r="C15" s="1" t="s">
        <v>5</v>
      </c>
      <c r="D15" s="1" t="s">
        <v>195</v>
      </c>
      <c r="F15" s="1" t="str">
        <f>IFERROR(__xludf.DUMMYFUNCTION("""COMPUTED_VALUE"""),"900910")</f>
        <v>900910</v>
      </c>
      <c r="G15" s="1" t="str">
        <f t="shared" si="1"/>
        <v>02/27/2023</v>
      </c>
      <c r="H15" s="1" t="str">
        <f t="shared" si="2"/>
        <v>9/21/1967</v>
      </c>
      <c r="I15" s="1" t="str">
        <f t="shared" si="3"/>
        <v>Gold</v>
      </c>
      <c r="J15" s="1" t="str">
        <f t="shared" si="4"/>
        <v>White</v>
      </c>
    </row>
    <row r="16" ht="14.25" customHeight="1">
      <c r="A16" s="1" t="s">
        <v>193</v>
      </c>
      <c r="B16" s="1" t="s">
        <v>194</v>
      </c>
      <c r="C16" s="1" t="s">
        <v>6</v>
      </c>
      <c r="D16" s="1" t="s">
        <v>21</v>
      </c>
      <c r="F16" s="1" t="str">
        <f>IFERROR(__xludf.DUMMYFUNCTION("""COMPUTED_VALUE"""),"303669")</f>
        <v>303669</v>
      </c>
      <c r="G16" s="1" t="str">
        <f t="shared" si="1"/>
        <v>02/18/2023</v>
      </c>
      <c r="H16" s="1" t="str">
        <f t="shared" si="2"/>
        <v>1/3/2016</v>
      </c>
      <c r="I16" s="1" t="str">
        <f t="shared" si="3"/>
        <v>Basic</v>
      </c>
      <c r="J16" s="1" t="str">
        <f t="shared" si="4"/>
        <v>Black</v>
      </c>
    </row>
    <row r="17" ht="14.25" customHeight="1">
      <c r="A17" s="1" t="s">
        <v>196</v>
      </c>
      <c r="B17" s="1" t="s">
        <v>197</v>
      </c>
      <c r="C17" s="1" t="s">
        <v>7</v>
      </c>
      <c r="D17" s="1" t="s">
        <v>13</v>
      </c>
      <c r="F17" s="1" t="str">
        <f>IFERROR(__xludf.DUMMYFUNCTION("""COMPUTED_VALUE"""),"995456")</f>
        <v>995456</v>
      </c>
      <c r="G17" s="1" t="str">
        <f t="shared" si="1"/>
        <v>02/17/2023</v>
      </c>
      <c r="H17" s="1" t="str">
        <f t="shared" si="2"/>
        <v>3/5/1975</v>
      </c>
      <c r="I17" s="1" t="str">
        <f t="shared" si="3"/>
        <v>Basic</v>
      </c>
      <c r="J17" s="1" t="str">
        <f t="shared" si="4"/>
        <v>Other</v>
      </c>
    </row>
    <row r="18" ht="14.25" customHeight="1">
      <c r="A18" s="1" t="s">
        <v>196</v>
      </c>
      <c r="B18" s="1" t="s">
        <v>197</v>
      </c>
      <c r="C18" s="1" t="s">
        <v>5</v>
      </c>
      <c r="D18" s="1" t="s">
        <v>198</v>
      </c>
      <c r="F18" s="1" t="str">
        <f>IFERROR(__xludf.DUMMYFUNCTION("""COMPUTED_VALUE"""),"598787")</f>
        <v>598787</v>
      </c>
      <c r="G18" s="1" t="str">
        <f t="shared" si="1"/>
        <v>02/1/2023</v>
      </c>
      <c r="H18" s="1" t="str">
        <f t="shared" si="2"/>
        <v>9/11/1962</v>
      </c>
      <c r="I18" s="1" t="str">
        <f t="shared" si="3"/>
        <v>Basic</v>
      </c>
      <c r="J18" s="1" t="str">
        <f t="shared" si="4"/>
        <v>Other</v>
      </c>
    </row>
    <row r="19" ht="14.25" customHeight="1">
      <c r="A19" s="1" t="s">
        <v>196</v>
      </c>
      <c r="B19" s="1" t="s">
        <v>197</v>
      </c>
      <c r="C19" s="1" t="s">
        <v>6</v>
      </c>
      <c r="D19" s="1" t="s">
        <v>21</v>
      </c>
      <c r="F19" s="1" t="str">
        <f>IFERROR(__xludf.DUMMYFUNCTION("""COMPUTED_VALUE"""),"239484")</f>
        <v>239484</v>
      </c>
      <c r="G19" s="1" t="str">
        <f t="shared" si="1"/>
        <v>02/6/2023</v>
      </c>
      <c r="H19" s="1" t="str">
        <f t="shared" si="2"/>
        <v>5/1/1999</v>
      </c>
      <c r="I19" s="1" t="str">
        <f t="shared" si="3"/>
        <v>Gold</v>
      </c>
      <c r="J19" s="1" t="str">
        <f t="shared" si="4"/>
        <v>Other</v>
      </c>
    </row>
    <row r="20" ht="14.25" customHeight="1">
      <c r="A20" s="1" t="s">
        <v>199</v>
      </c>
      <c r="B20" s="1" t="s">
        <v>200</v>
      </c>
      <c r="C20" s="1" t="s">
        <v>7</v>
      </c>
      <c r="D20" s="1" t="s">
        <v>9</v>
      </c>
      <c r="F20" s="1" t="str">
        <f>IFERROR(__xludf.DUMMYFUNCTION("""COMPUTED_VALUE"""),"188081")</f>
        <v>188081</v>
      </c>
      <c r="G20" s="1" t="str">
        <f t="shared" si="1"/>
        <v>02/26/2023</v>
      </c>
      <c r="H20" s="1" t="str">
        <f t="shared" si="2"/>
        <v>5/29/1969</v>
      </c>
      <c r="I20" s="1" t="str">
        <f t="shared" si="3"/>
        <v>Basic</v>
      </c>
      <c r="J20" s="1" t="str">
        <f t="shared" si="4"/>
        <v>Other</v>
      </c>
    </row>
    <row r="21" ht="14.25" customHeight="1">
      <c r="A21" s="1" t="s">
        <v>199</v>
      </c>
      <c r="B21" s="1" t="s">
        <v>200</v>
      </c>
      <c r="C21" s="1" t="s">
        <v>5</v>
      </c>
      <c r="D21" s="1" t="s">
        <v>201</v>
      </c>
      <c r="F21" s="1" t="str">
        <f>IFERROR(__xludf.DUMMYFUNCTION("""COMPUTED_VALUE"""),"828504")</f>
        <v>828504</v>
      </c>
      <c r="G21" s="1" t="str">
        <f t="shared" si="1"/>
        <v>02/10/2023</v>
      </c>
      <c r="H21" s="1" t="str">
        <f t="shared" si="2"/>
        <v>9/21/2013</v>
      </c>
      <c r="I21" s="1" t="str">
        <f t="shared" si="3"/>
        <v>Basic</v>
      </c>
      <c r="J21" s="1" t="str">
        <f t="shared" si="4"/>
        <v>Other</v>
      </c>
    </row>
    <row r="22" ht="14.25" customHeight="1">
      <c r="A22" s="1" t="s">
        <v>199</v>
      </c>
      <c r="B22" s="1" t="s">
        <v>200</v>
      </c>
      <c r="C22" s="1" t="s">
        <v>6</v>
      </c>
      <c r="D22" s="1" t="s">
        <v>15</v>
      </c>
      <c r="F22" s="1" t="str">
        <f>IFERROR(__xludf.DUMMYFUNCTION("""COMPUTED_VALUE"""),"150648")</f>
        <v>150648</v>
      </c>
      <c r="G22" s="1" t="str">
        <f t="shared" si="1"/>
        <v>02/2/2023</v>
      </c>
      <c r="H22" s="1" t="str">
        <f t="shared" si="2"/>
        <v>6/4/1950</v>
      </c>
      <c r="I22" s="1" t="str">
        <f t="shared" si="3"/>
        <v>Basic</v>
      </c>
      <c r="J22" s="1" t="str">
        <f t="shared" si="4"/>
        <v>Black</v>
      </c>
    </row>
    <row r="23" ht="14.25" customHeight="1">
      <c r="A23" s="1" t="s">
        <v>202</v>
      </c>
      <c r="B23" s="1" t="s">
        <v>203</v>
      </c>
      <c r="C23" s="1" t="s">
        <v>7</v>
      </c>
      <c r="D23" s="1" t="s">
        <v>25</v>
      </c>
      <c r="F23" s="1" t="str">
        <f>IFERROR(__xludf.DUMMYFUNCTION("""COMPUTED_VALUE"""),"263796")</f>
        <v>263796</v>
      </c>
      <c r="G23" s="1" t="str">
        <f t="shared" si="1"/>
        <v>02/24/2023</v>
      </c>
      <c r="H23" s="1" t="str">
        <f t="shared" si="2"/>
        <v>2/10/1952</v>
      </c>
      <c r="I23" s="1" t="str">
        <f t="shared" si="3"/>
        <v>Gold</v>
      </c>
      <c r="J23" s="1" t="str">
        <f t="shared" si="4"/>
        <v>White</v>
      </c>
    </row>
    <row r="24" ht="14.25" customHeight="1">
      <c r="A24" s="1" t="s">
        <v>202</v>
      </c>
      <c r="B24" s="1" t="s">
        <v>203</v>
      </c>
      <c r="C24" s="1" t="s">
        <v>5</v>
      </c>
      <c r="D24" s="1" t="s">
        <v>204</v>
      </c>
      <c r="F24" s="1" t="str">
        <f>IFERROR(__xludf.DUMMYFUNCTION("""COMPUTED_VALUE"""),"662810")</f>
        <v>662810</v>
      </c>
      <c r="G24" s="1" t="str">
        <f t="shared" si="1"/>
        <v>02/25/2023</v>
      </c>
      <c r="H24" s="1" t="str">
        <f t="shared" si="2"/>
        <v>12/11/1994</v>
      </c>
      <c r="I24" s="1" t="str">
        <f t="shared" si="3"/>
        <v>Gold</v>
      </c>
      <c r="J24" s="1" t="str">
        <f t="shared" si="4"/>
        <v>Asian</v>
      </c>
    </row>
    <row r="25" ht="14.25" customHeight="1">
      <c r="A25" s="1" t="s">
        <v>202</v>
      </c>
      <c r="B25" s="1" t="s">
        <v>203</v>
      </c>
      <c r="C25" s="1" t="s">
        <v>6</v>
      </c>
      <c r="D25" s="1" t="s">
        <v>15</v>
      </c>
      <c r="F25" s="1" t="str">
        <f>IFERROR(__xludf.DUMMYFUNCTION("""COMPUTED_VALUE"""),"988008")</f>
        <v>988008</v>
      </c>
      <c r="G25" s="1" t="str">
        <f t="shared" si="1"/>
        <v>02/6/2023</v>
      </c>
      <c r="H25" s="1" t="str">
        <f t="shared" si="2"/>
        <v>7/9/1971</v>
      </c>
      <c r="I25" s="1" t="str">
        <f t="shared" si="3"/>
        <v>Gold</v>
      </c>
      <c r="J25" s="1" t="str">
        <f t="shared" si="4"/>
        <v>Asian</v>
      </c>
    </row>
    <row r="26" ht="14.25" customHeight="1">
      <c r="A26" s="1" t="s">
        <v>205</v>
      </c>
      <c r="B26" s="1" t="s">
        <v>185</v>
      </c>
      <c r="C26" s="1" t="s">
        <v>7</v>
      </c>
      <c r="D26" s="1" t="s">
        <v>9</v>
      </c>
      <c r="F26" s="1" t="str">
        <f>IFERROR(__xludf.DUMMYFUNCTION("""COMPUTED_VALUE"""),"126580")</f>
        <v>126580</v>
      </c>
      <c r="G26" s="1" t="str">
        <f t="shared" si="1"/>
        <v>02/7/2023</v>
      </c>
      <c r="H26" s="1" t="str">
        <f t="shared" si="2"/>
        <v>7/17/1945</v>
      </c>
      <c r="I26" s="1" t="str">
        <f t="shared" si="3"/>
        <v>Platinum</v>
      </c>
      <c r="J26" s="1" t="str">
        <f t="shared" si="4"/>
        <v>Black</v>
      </c>
    </row>
    <row r="27" ht="14.25" customHeight="1">
      <c r="A27" s="1" t="s">
        <v>205</v>
      </c>
      <c r="B27" s="1" t="s">
        <v>185</v>
      </c>
      <c r="C27" s="1" t="s">
        <v>5</v>
      </c>
      <c r="D27" s="1" t="s">
        <v>206</v>
      </c>
      <c r="F27" s="1" t="str">
        <f>IFERROR(__xludf.DUMMYFUNCTION("""COMPUTED_VALUE"""),"307769")</f>
        <v>307769</v>
      </c>
      <c r="G27" s="1" t="str">
        <f t="shared" si="1"/>
        <v>02/16/2023</v>
      </c>
      <c r="H27" s="1" t="str">
        <f t="shared" si="2"/>
        <v>7/26/1981</v>
      </c>
      <c r="I27" s="1" t="str">
        <f t="shared" si="3"/>
        <v>Gold</v>
      </c>
      <c r="J27" s="1" t="str">
        <f t="shared" si="4"/>
        <v>White</v>
      </c>
    </row>
    <row r="28" ht="14.25" customHeight="1">
      <c r="A28" s="1" t="s">
        <v>205</v>
      </c>
      <c r="B28" s="1" t="s">
        <v>185</v>
      </c>
      <c r="C28" s="1" t="s">
        <v>6</v>
      </c>
      <c r="D28" s="1" t="s">
        <v>11</v>
      </c>
      <c r="F28" s="1" t="str">
        <f>IFERROR(__xludf.DUMMYFUNCTION("""COMPUTED_VALUE"""),"890043")</f>
        <v>890043</v>
      </c>
      <c r="G28" s="1" t="str">
        <f t="shared" si="1"/>
        <v>02/8/2023</v>
      </c>
      <c r="H28" s="1" t="str">
        <f t="shared" si="2"/>
        <v>5/24/2010</v>
      </c>
      <c r="I28" s="1" t="str">
        <f t="shared" si="3"/>
        <v>Basic</v>
      </c>
      <c r="J28" s="1" t="str">
        <f t="shared" si="4"/>
        <v>White</v>
      </c>
    </row>
    <row r="29" ht="14.25" customHeight="1">
      <c r="A29" s="1" t="s">
        <v>207</v>
      </c>
      <c r="B29" s="1" t="s">
        <v>208</v>
      </c>
      <c r="C29" s="1" t="s">
        <v>7</v>
      </c>
      <c r="D29" s="1" t="s">
        <v>19</v>
      </c>
      <c r="F29" s="1" t="str">
        <f>IFERROR(__xludf.DUMMYFUNCTION("""COMPUTED_VALUE"""),"866947")</f>
        <v>866947</v>
      </c>
      <c r="G29" s="1" t="str">
        <f t="shared" si="1"/>
        <v>02/2/2023</v>
      </c>
      <c r="H29" s="1" t="str">
        <f t="shared" si="2"/>
        <v>4/11/1949</v>
      </c>
      <c r="I29" s="1" t="str">
        <f t="shared" si="3"/>
        <v>Gold</v>
      </c>
      <c r="J29" s="1" t="str">
        <f t="shared" si="4"/>
        <v>Other</v>
      </c>
    </row>
    <row r="30" ht="14.25" customHeight="1">
      <c r="A30" s="1" t="s">
        <v>207</v>
      </c>
      <c r="B30" s="1" t="s">
        <v>208</v>
      </c>
      <c r="C30" s="1" t="s">
        <v>5</v>
      </c>
      <c r="D30" s="1" t="s">
        <v>209</v>
      </c>
      <c r="F30" s="1" t="str">
        <f>IFERROR(__xludf.DUMMYFUNCTION("""COMPUTED_VALUE"""),"200988")</f>
        <v>200988</v>
      </c>
      <c r="G30" s="1" t="str">
        <f t="shared" si="1"/>
        <v>02/24/2023</v>
      </c>
      <c r="H30" s="1" t="str">
        <f t="shared" si="2"/>
        <v>10/8/1969</v>
      </c>
      <c r="I30" s="1" t="str">
        <f t="shared" si="3"/>
        <v>Platinum</v>
      </c>
      <c r="J30" s="1" t="str">
        <f t="shared" si="4"/>
        <v>Asian</v>
      </c>
    </row>
    <row r="31" ht="14.25" customHeight="1">
      <c r="A31" s="1" t="s">
        <v>207</v>
      </c>
      <c r="B31" s="1" t="s">
        <v>208</v>
      </c>
      <c r="C31" s="1" t="s">
        <v>6</v>
      </c>
      <c r="D31" s="1" t="s">
        <v>21</v>
      </c>
      <c r="F31" s="1" t="str">
        <f>IFERROR(__xludf.DUMMYFUNCTION("""COMPUTED_VALUE"""),"667559")</f>
        <v>667559</v>
      </c>
      <c r="G31" s="1" t="str">
        <f t="shared" si="1"/>
        <v>02/14/2023</v>
      </c>
      <c r="H31" s="1" t="str">
        <f t="shared" si="2"/>
        <v>5/16/1985</v>
      </c>
      <c r="I31" s="1" t="str">
        <f t="shared" si="3"/>
        <v>Basic</v>
      </c>
      <c r="J31" s="1" t="str">
        <f t="shared" si="4"/>
        <v>Other</v>
      </c>
    </row>
    <row r="32" ht="14.25" customHeight="1">
      <c r="A32" s="1" t="s">
        <v>210</v>
      </c>
      <c r="B32" s="1" t="s">
        <v>211</v>
      </c>
      <c r="C32" s="1" t="s">
        <v>7</v>
      </c>
      <c r="D32" s="1" t="s">
        <v>19</v>
      </c>
      <c r="F32" s="1" t="str">
        <f>IFERROR(__xludf.DUMMYFUNCTION("""COMPUTED_VALUE"""),"862571")</f>
        <v>862571</v>
      </c>
      <c r="G32" s="1" t="str">
        <f t="shared" si="1"/>
        <v>02/7/2023</v>
      </c>
      <c r="H32" s="1" t="str">
        <f t="shared" si="2"/>
        <v>3/10/1962</v>
      </c>
      <c r="I32" s="1" t="str">
        <f t="shared" si="3"/>
        <v>Gold</v>
      </c>
      <c r="J32" s="1" t="str">
        <f t="shared" si="4"/>
        <v>Black</v>
      </c>
    </row>
    <row r="33" ht="14.25" customHeight="1">
      <c r="A33" s="1" t="s">
        <v>210</v>
      </c>
      <c r="B33" s="1" t="s">
        <v>211</v>
      </c>
      <c r="C33" s="1" t="s">
        <v>5</v>
      </c>
      <c r="D33" s="1" t="s">
        <v>212</v>
      </c>
      <c r="F33" s="1" t="str">
        <f>IFERROR(__xludf.DUMMYFUNCTION("""COMPUTED_VALUE"""),"448076")</f>
        <v>448076</v>
      </c>
      <c r="G33" s="1" t="str">
        <f t="shared" si="1"/>
        <v>02/20/2023</v>
      </c>
      <c r="H33" s="1" t="str">
        <f t="shared" si="2"/>
        <v>10/7/1995</v>
      </c>
      <c r="I33" s="1" t="str">
        <f t="shared" si="3"/>
        <v>Platinum</v>
      </c>
      <c r="J33" s="1" t="str">
        <f t="shared" si="4"/>
        <v>White</v>
      </c>
    </row>
    <row r="34" ht="14.25" customHeight="1">
      <c r="A34" s="1" t="s">
        <v>210</v>
      </c>
      <c r="B34" s="1" t="s">
        <v>211</v>
      </c>
      <c r="C34" s="1" t="s">
        <v>6</v>
      </c>
      <c r="D34" s="1" t="s">
        <v>11</v>
      </c>
      <c r="F34" s="1" t="str">
        <f>IFERROR(__xludf.DUMMYFUNCTION("""COMPUTED_VALUE"""),"993967")</f>
        <v>993967</v>
      </c>
      <c r="G34" s="1" t="str">
        <f t="shared" si="1"/>
        <v>02/15/2023</v>
      </c>
      <c r="H34" s="1" t="str">
        <f t="shared" si="2"/>
        <v>2/23/1951</v>
      </c>
      <c r="I34" s="1" t="str">
        <f t="shared" si="3"/>
        <v>Platinum</v>
      </c>
      <c r="J34" s="1" t="str">
        <f t="shared" si="4"/>
        <v>Asian</v>
      </c>
    </row>
    <row r="35" ht="14.25" customHeight="1">
      <c r="A35" s="1" t="s">
        <v>213</v>
      </c>
      <c r="B35" s="1" t="s">
        <v>214</v>
      </c>
      <c r="C35" s="1" t="s">
        <v>7</v>
      </c>
      <c r="D35" s="1" t="s">
        <v>9</v>
      </c>
      <c r="F35" s="1" t="str">
        <f>IFERROR(__xludf.DUMMYFUNCTION("""COMPUTED_VALUE"""),"748205")</f>
        <v>748205</v>
      </c>
      <c r="G35" s="1" t="str">
        <f t="shared" si="1"/>
        <v>02/5/2023</v>
      </c>
      <c r="H35" s="1" t="str">
        <f t="shared" si="2"/>
        <v>6/19/2002</v>
      </c>
      <c r="I35" s="1" t="str">
        <f t="shared" si="3"/>
        <v>Gold</v>
      </c>
      <c r="J35" s="1" t="str">
        <f t="shared" si="4"/>
        <v>Asian</v>
      </c>
    </row>
    <row r="36" ht="14.25" customHeight="1">
      <c r="A36" s="1" t="s">
        <v>213</v>
      </c>
      <c r="B36" s="1" t="s">
        <v>214</v>
      </c>
      <c r="C36" s="1" t="s">
        <v>5</v>
      </c>
      <c r="D36" s="1" t="s">
        <v>215</v>
      </c>
      <c r="F36" s="1" t="str">
        <f>IFERROR(__xludf.DUMMYFUNCTION("""COMPUTED_VALUE"""),"582245")</f>
        <v>582245</v>
      </c>
      <c r="G36" s="1" t="str">
        <f t="shared" si="1"/>
        <v>02/20/2023</v>
      </c>
      <c r="H36" s="1" t="str">
        <f t="shared" si="2"/>
        <v>2/17/2012</v>
      </c>
      <c r="I36" s="1" t="str">
        <f t="shared" si="3"/>
        <v>Platinum</v>
      </c>
      <c r="J36" s="1" t="str">
        <f t="shared" si="4"/>
        <v>Other</v>
      </c>
    </row>
    <row r="37" ht="14.25" customHeight="1">
      <c r="A37" s="1" t="s">
        <v>213</v>
      </c>
      <c r="B37" s="1" t="s">
        <v>214</v>
      </c>
      <c r="C37" s="1" t="s">
        <v>6</v>
      </c>
      <c r="D37" s="1" t="s">
        <v>11</v>
      </c>
      <c r="F37" s="1" t="str">
        <f>IFERROR(__xludf.DUMMYFUNCTION("""COMPUTED_VALUE"""),"429112")</f>
        <v>429112</v>
      </c>
      <c r="G37" s="1" t="str">
        <f t="shared" si="1"/>
        <v>02/8/2023</v>
      </c>
      <c r="H37" s="1" t="str">
        <f t="shared" si="2"/>
        <v>11/20/1993</v>
      </c>
      <c r="I37" s="1" t="str">
        <f t="shared" si="3"/>
        <v>Basic</v>
      </c>
      <c r="J37" s="1" t="str">
        <f t="shared" si="4"/>
        <v>Black</v>
      </c>
    </row>
    <row r="38" ht="14.25" customHeight="1">
      <c r="A38" s="1" t="s">
        <v>216</v>
      </c>
      <c r="B38" s="1" t="s">
        <v>200</v>
      </c>
      <c r="C38" s="1" t="s">
        <v>7</v>
      </c>
      <c r="D38" s="1" t="s">
        <v>9</v>
      </c>
      <c r="F38" s="1" t="str">
        <f>IFERROR(__xludf.DUMMYFUNCTION("""COMPUTED_VALUE"""),"528281")</f>
        <v>528281</v>
      </c>
      <c r="G38" s="1" t="str">
        <f t="shared" si="1"/>
        <v>02/22/2023</v>
      </c>
      <c r="H38" s="1" t="str">
        <f t="shared" si="2"/>
        <v>12/22/2009</v>
      </c>
      <c r="I38" s="1" t="str">
        <f t="shared" si="3"/>
        <v>Basic</v>
      </c>
      <c r="J38" s="1" t="str">
        <f t="shared" si="4"/>
        <v>Black</v>
      </c>
    </row>
    <row r="39" ht="14.25" customHeight="1">
      <c r="A39" s="1" t="s">
        <v>216</v>
      </c>
      <c r="B39" s="1" t="s">
        <v>200</v>
      </c>
      <c r="C39" s="1" t="s">
        <v>5</v>
      </c>
      <c r="D39" s="1" t="s">
        <v>217</v>
      </c>
      <c r="F39" s="1" t="str">
        <f>IFERROR(__xludf.DUMMYFUNCTION("""COMPUTED_VALUE"""),"698182")</f>
        <v>698182</v>
      </c>
      <c r="G39" s="1" t="str">
        <f t="shared" si="1"/>
        <v>02/20/2023</v>
      </c>
      <c r="H39" s="1" t="str">
        <f t="shared" si="2"/>
        <v>12/28/1960</v>
      </c>
      <c r="I39" s="1" t="str">
        <f t="shared" si="3"/>
        <v>Gold</v>
      </c>
      <c r="J39" s="1" t="str">
        <f t="shared" si="4"/>
        <v>Asian</v>
      </c>
    </row>
    <row r="40" ht="14.25" customHeight="1">
      <c r="A40" s="1" t="s">
        <v>216</v>
      </c>
      <c r="B40" s="1" t="s">
        <v>200</v>
      </c>
      <c r="C40" s="1" t="s">
        <v>6</v>
      </c>
      <c r="D40" s="1" t="s">
        <v>15</v>
      </c>
      <c r="F40" s="1" t="str">
        <f>IFERROR(__xludf.DUMMYFUNCTION("""COMPUTED_VALUE"""),"141574")</f>
        <v>141574</v>
      </c>
      <c r="G40" s="1" t="str">
        <f t="shared" si="1"/>
        <v>02/9/2023</v>
      </c>
      <c r="H40" s="1" t="str">
        <f t="shared" si="2"/>
        <v>12/18/2012</v>
      </c>
      <c r="I40" s="1" t="str">
        <f t="shared" si="3"/>
        <v>Platinum</v>
      </c>
      <c r="J40" s="1" t="str">
        <f t="shared" si="4"/>
        <v>Other</v>
      </c>
    </row>
    <row r="41" ht="14.25" customHeight="1">
      <c r="A41" s="1" t="s">
        <v>218</v>
      </c>
      <c r="B41" s="1" t="s">
        <v>203</v>
      </c>
      <c r="C41" s="1" t="s">
        <v>7</v>
      </c>
      <c r="D41" s="1" t="s">
        <v>13</v>
      </c>
      <c r="F41" s="1" t="str">
        <f>IFERROR(__xludf.DUMMYFUNCTION("""COMPUTED_VALUE"""),"253467")</f>
        <v>253467</v>
      </c>
      <c r="G41" s="1" t="str">
        <f t="shared" si="1"/>
        <v>02/5/2023</v>
      </c>
      <c r="H41" s="1" t="str">
        <f t="shared" si="2"/>
        <v>7/29/1984</v>
      </c>
      <c r="I41" s="1" t="str">
        <f t="shared" si="3"/>
        <v>Basic</v>
      </c>
      <c r="J41" s="1" t="str">
        <f t="shared" si="4"/>
        <v>Asian</v>
      </c>
    </row>
    <row r="42" ht="14.25" customHeight="1">
      <c r="A42" s="1" t="s">
        <v>218</v>
      </c>
      <c r="B42" s="1" t="s">
        <v>203</v>
      </c>
      <c r="C42" s="1" t="s">
        <v>5</v>
      </c>
      <c r="D42" s="1" t="s">
        <v>219</v>
      </c>
      <c r="F42" s="1" t="str">
        <f>IFERROR(__xludf.DUMMYFUNCTION("""COMPUTED_VALUE"""),"290840")</f>
        <v>290840</v>
      </c>
      <c r="G42" s="1" t="str">
        <f t="shared" si="1"/>
        <v>02/14/2023</v>
      </c>
      <c r="H42" s="1" t="str">
        <f t="shared" si="2"/>
        <v>8/3/2001</v>
      </c>
      <c r="I42" s="1" t="str">
        <f t="shared" si="3"/>
        <v>Gold</v>
      </c>
      <c r="J42" s="1" t="str">
        <f t="shared" si="4"/>
        <v>Asian</v>
      </c>
    </row>
    <row r="43" ht="14.25" customHeight="1">
      <c r="A43" s="1" t="s">
        <v>218</v>
      </c>
      <c r="B43" s="1" t="s">
        <v>203</v>
      </c>
      <c r="C43" s="1" t="s">
        <v>6</v>
      </c>
      <c r="D43" s="1" t="s">
        <v>15</v>
      </c>
      <c r="F43" s="1" t="str">
        <f>IFERROR(__xludf.DUMMYFUNCTION("""COMPUTED_VALUE"""),"313159")</f>
        <v>313159</v>
      </c>
      <c r="G43" s="1" t="str">
        <f t="shared" si="1"/>
        <v>02/27/2023</v>
      </c>
      <c r="H43" s="1" t="str">
        <f t="shared" si="2"/>
        <v>9/23/2008</v>
      </c>
      <c r="I43" s="1" t="str">
        <f t="shared" si="3"/>
        <v>Platinum</v>
      </c>
      <c r="J43" s="1" t="str">
        <f t="shared" si="4"/>
        <v>White</v>
      </c>
    </row>
    <row r="44" ht="14.25" customHeight="1">
      <c r="A44" s="1" t="s">
        <v>220</v>
      </c>
      <c r="B44" s="1" t="s">
        <v>200</v>
      </c>
      <c r="C44" s="1" t="s">
        <v>7</v>
      </c>
      <c r="D44" s="1" t="s">
        <v>25</v>
      </c>
      <c r="F44" s="1" t="str">
        <f>IFERROR(__xludf.DUMMYFUNCTION("""COMPUTED_VALUE"""),"771442")</f>
        <v>771442</v>
      </c>
      <c r="G44" s="1" t="str">
        <f t="shared" si="1"/>
        <v>02/22/2023</v>
      </c>
      <c r="H44" s="1" t="str">
        <f t="shared" si="2"/>
        <v>5/7/1974</v>
      </c>
      <c r="I44" s="1" t="str">
        <f t="shared" si="3"/>
        <v>Basic</v>
      </c>
      <c r="J44" s="1" t="str">
        <f t="shared" si="4"/>
        <v>White</v>
      </c>
    </row>
    <row r="45" ht="14.25" customHeight="1">
      <c r="A45" s="1" t="s">
        <v>220</v>
      </c>
      <c r="B45" s="1" t="s">
        <v>200</v>
      </c>
      <c r="C45" s="1" t="s">
        <v>5</v>
      </c>
      <c r="D45" s="1" t="s">
        <v>221</v>
      </c>
      <c r="F45" s="1" t="str">
        <f>IFERROR(__xludf.DUMMYFUNCTION("""COMPUTED_VALUE"""),"305931")</f>
        <v>305931</v>
      </c>
      <c r="G45" s="1" t="str">
        <f t="shared" si="1"/>
        <v>02/9/2023</v>
      </c>
      <c r="H45" s="1" t="str">
        <f t="shared" si="2"/>
        <v>10/1/2011</v>
      </c>
      <c r="I45" s="1" t="str">
        <f t="shared" si="3"/>
        <v>Platinum</v>
      </c>
      <c r="J45" s="1" t="str">
        <f t="shared" si="4"/>
        <v>Other</v>
      </c>
    </row>
    <row r="46" ht="14.25" customHeight="1">
      <c r="A46" s="1" t="s">
        <v>220</v>
      </c>
      <c r="B46" s="1" t="s">
        <v>200</v>
      </c>
      <c r="C46" s="1" t="s">
        <v>6</v>
      </c>
      <c r="D46" s="1" t="s">
        <v>21</v>
      </c>
      <c r="F46" s="1" t="str">
        <f>IFERROR(__xludf.DUMMYFUNCTION("""COMPUTED_VALUE"""),"399130")</f>
        <v>399130</v>
      </c>
      <c r="G46" s="1" t="str">
        <f t="shared" si="1"/>
        <v>02/28/2023</v>
      </c>
      <c r="H46" s="1" t="str">
        <f t="shared" si="2"/>
        <v>7/4/1958</v>
      </c>
      <c r="I46" s="1" t="str">
        <f t="shared" si="3"/>
        <v>Basic</v>
      </c>
      <c r="J46" s="1" t="str">
        <f t="shared" si="4"/>
        <v>Asian</v>
      </c>
    </row>
    <row r="47" ht="14.25" customHeight="1">
      <c r="A47" s="1" t="s">
        <v>222</v>
      </c>
      <c r="B47" s="1" t="s">
        <v>223</v>
      </c>
      <c r="C47" s="1" t="s">
        <v>7</v>
      </c>
      <c r="D47" s="1" t="s">
        <v>9</v>
      </c>
      <c r="F47" s="1" t="str">
        <f>IFERROR(__xludf.DUMMYFUNCTION("""COMPUTED_VALUE"""),"867729")</f>
        <v>867729</v>
      </c>
      <c r="G47" s="1" t="str">
        <f t="shared" si="1"/>
        <v>02/3/2023</v>
      </c>
      <c r="H47" s="1" t="str">
        <f t="shared" si="2"/>
        <v>4/24/1957</v>
      </c>
      <c r="I47" s="1" t="str">
        <f t="shared" si="3"/>
        <v>Basic</v>
      </c>
      <c r="J47" s="1" t="str">
        <f t="shared" si="4"/>
        <v>Black</v>
      </c>
    </row>
    <row r="48" ht="14.25" customHeight="1">
      <c r="A48" s="1" t="s">
        <v>222</v>
      </c>
      <c r="B48" s="1" t="s">
        <v>223</v>
      </c>
      <c r="C48" s="1" t="s">
        <v>5</v>
      </c>
      <c r="D48" s="1" t="s">
        <v>224</v>
      </c>
      <c r="F48" s="1" t="str">
        <f>IFERROR(__xludf.DUMMYFUNCTION("""COMPUTED_VALUE"""),"236432")</f>
        <v>236432</v>
      </c>
      <c r="G48" s="1" t="str">
        <f t="shared" si="1"/>
        <v>02/20/2023</v>
      </c>
      <c r="H48" s="1" t="str">
        <f t="shared" si="2"/>
        <v>10/13/1957</v>
      </c>
      <c r="I48" s="1" t="str">
        <f t="shared" si="3"/>
        <v>Basic</v>
      </c>
      <c r="J48" s="1" t="str">
        <f t="shared" si="4"/>
        <v>White</v>
      </c>
    </row>
    <row r="49" ht="14.25" customHeight="1">
      <c r="A49" s="1" t="s">
        <v>222</v>
      </c>
      <c r="B49" s="1" t="s">
        <v>223</v>
      </c>
      <c r="C49" s="1" t="s">
        <v>6</v>
      </c>
      <c r="D49" s="1" t="s">
        <v>21</v>
      </c>
      <c r="F49" s="1" t="str">
        <f>IFERROR(__xludf.DUMMYFUNCTION("""COMPUTED_VALUE"""),"633342")</f>
        <v>633342</v>
      </c>
      <c r="G49" s="1" t="str">
        <f t="shared" si="1"/>
        <v>02/8/2023</v>
      </c>
      <c r="H49" s="1" t="str">
        <f t="shared" si="2"/>
        <v>3/25/1972</v>
      </c>
      <c r="I49" s="1" t="str">
        <f t="shared" si="3"/>
        <v>Basic</v>
      </c>
      <c r="J49" s="1" t="str">
        <f t="shared" si="4"/>
        <v>Asian</v>
      </c>
    </row>
    <row r="50" ht="14.25" customHeight="1">
      <c r="A50" s="1" t="s">
        <v>225</v>
      </c>
      <c r="B50" s="1" t="s">
        <v>188</v>
      </c>
      <c r="C50" s="1" t="s">
        <v>7</v>
      </c>
      <c r="D50" s="1" t="s">
        <v>9</v>
      </c>
      <c r="F50" s="1" t="str">
        <f>IFERROR(__xludf.DUMMYFUNCTION("""COMPUTED_VALUE"""),"940601")</f>
        <v>940601</v>
      </c>
      <c r="G50" s="1" t="str">
        <f t="shared" si="1"/>
        <v>02/9/2023</v>
      </c>
      <c r="H50" s="1" t="str">
        <f t="shared" si="2"/>
        <v>8/4/2011</v>
      </c>
      <c r="I50" s="1" t="str">
        <f t="shared" si="3"/>
        <v>Platinum</v>
      </c>
      <c r="J50" s="1" t="str">
        <f t="shared" si="4"/>
        <v>Other</v>
      </c>
    </row>
    <row r="51" ht="14.25" customHeight="1">
      <c r="A51" s="1" t="s">
        <v>225</v>
      </c>
      <c r="B51" s="1" t="s">
        <v>188</v>
      </c>
      <c r="C51" s="1" t="s">
        <v>5</v>
      </c>
      <c r="D51" s="1" t="s">
        <v>226</v>
      </c>
      <c r="F51" s="1" t="str">
        <f>IFERROR(__xludf.DUMMYFUNCTION("""COMPUTED_VALUE"""),"203783")</f>
        <v>203783</v>
      </c>
      <c r="G51" s="1" t="str">
        <f t="shared" si="1"/>
        <v>02/24/2023</v>
      </c>
      <c r="H51" s="1" t="str">
        <f t="shared" si="2"/>
        <v>7/10/1975</v>
      </c>
      <c r="I51" s="1" t="str">
        <f t="shared" si="3"/>
        <v>Platinum</v>
      </c>
      <c r="J51" s="1" t="str">
        <f t="shared" si="4"/>
        <v>Black</v>
      </c>
    </row>
    <row r="52" ht="14.25" customHeight="1">
      <c r="A52" s="1" t="s">
        <v>225</v>
      </c>
      <c r="B52" s="1" t="s">
        <v>188</v>
      </c>
      <c r="C52" s="1" t="s">
        <v>6</v>
      </c>
      <c r="D52" s="1" t="s">
        <v>21</v>
      </c>
      <c r="F52" s="1" t="str">
        <f>IFERROR(__xludf.DUMMYFUNCTION("""COMPUTED_VALUE"""),"371550")</f>
        <v>371550</v>
      </c>
      <c r="G52" s="1" t="str">
        <f t="shared" si="1"/>
        <v>02/2/2023</v>
      </c>
      <c r="H52" s="1" t="str">
        <f t="shared" si="2"/>
        <v>8/20/2004</v>
      </c>
      <c r="I52" s="1" t="str">
        <f t="shared" si="3"/>
        <v>Basic</v>
      </c>
      <c r="J52" s="1" t="str">
        <f t="shared" si="4"/>
        <v>Black</v>
      </c>
    </row>
    <row r="53" ht="14.25" customHeight="1">
      <c r="A53" s="1" t="s">
        <v>227</v>
      </c>
      <c r="B53" s="1" t="s">
        <v>194</v>
      </c>
      <c r="C53" s="1" t="s">
        <v>7</v>
      </c>
      <c r="D53" s="1" t="s">
        <v>9</v>
      </c>
      <c r="F53" s="1" t="str">
        <f>IFERROR(__xludf.DUMMYFUNCTION("""COMPUTED_VALUE"""),"742364")</f>
        <v>742364</v>
      </c>
      <c r="G53" s="1" t="str">
        <f t="shared" si="1"/>
        <v>02/2/2023</v>
      </c>
      <c r="H53" s="1" t="str">
        <f t="shared" si="2"/>
        <v>9/9/1978</v>
      </c>
      <c r="I53" s="1" t="str">
        <f t="shared" si="3"/>
        <v>Gold</v>
      </c>
      <c r="J53" s="1" t="str">
        <f t="shared" si="4"/>
        <v>Black</v>
      </c>
    </row>
    <row r="54" ht="14.25" customHeight="1">
      <c r="A54" s="1" t="s">
        <v>227</v>
      </c>
      <c r="B54" s="1" t="s">
        <v>194</v>
      </c>
      <c r="C54" s="1" t="s">
        <v>5</v>
      </c>
      <c r="D54" s="1" t="s">
        <v>228</v>
      </c>
      <c r="F54" s="1" t="str">
        <f>IFERROR(__xludf.DUMMYFUNCTION("""COMPUTED_VALUE"""),"149442")</f>
        <v>149442</v>
      </c>
      <c r="G54" s="1" t="str">
        <f t="shared" si="1"/>
        <v>02/23/2023</v>
      </c>
      <c r="H54" s="1" t="str">
        <f t="shared" si="2"/>
        <v>6/10/1952</v>
      </c>
      <c r="I54" s="1" t="str">
        <f t="shared" si="3"/>
        <v>Gold</v>
      </c>
      <c r="J54" s="1" t="str">
        <f t="shared" si="4"/>
        <v>Other</v>
      </c>
    </row>
    <row r="55" ht="14.25" customHeight="1">
      <c r="A55" s="1" t="s">
        <v>227</v>
      </c>
      <c r="B55" s="1" t="s">
        <v>194</v>
      </c>
      <c r="C55" s="1" t="s">
        <v>6</v>
      </c>
      <c r="D55" s="1" t="s">
        <v>15</v>
      </c>
      <c r="F55" s="1" t="str">
        <f>IFERROR(__xludf.DUMMYFUNCTION("""COMPUTED_VALUE"""),"134738")</f>
        <v>134738</v>
      </c>
      <c r="G55" s="1" t="str">
        <f t="shared" si="1"/>
        <v>02/4/2023</v>
      </c>
      <c r="H55" s="1" t="str">
        <f t="shared" si="2"/>
        <v>4/21/1992</v>
      </c>
      <c r="I55" s="1" t="str">
        <f t="shared" si="3"/>
        <v>Basic</v>
      </c>
      <c r="J55" s="1" t="str">
        <f t="shared" si="4"/>
        <v>Asian</v>
      </c>
    </row>
    <row r="56" ht="14.25" customHeight="1">
      <c r="A56" s="1" t="s">
        <v>229</v>
      </c>
      <c r="B56" s="1" t="s">
        <v>230</v>
      </c>
      <c r="C56" s="1" t="s">
        <v>7</v>
      </c>
      <c r="D56" s="1" t="s">
        <v>9</v>
      </c>
      <c r="F56" s="1" t="str">
        <f>IFERROR(__xludf.DUMMYFUNCTION("""COMPUTED_VALUE"""),"804513")</f>
        <v>804513</v>
      </c>
      <c r="G56" s="1" t="str">
        <f t="shared" si="1"/>
        <v>02/25/2023</v>
      </c>
      <c r="H56" s="1" t="str">
        <f t="shared" si="2"/>
        <v>5/12/1974</v>
      </c>
      <c r="I56" s="1" t="str">
        <f t="shared" si="3"/>
        <v>Gold</v>
      </c>
      <c r="J56" s="1" t="str">
        <f t="shared" si="4"/>
        <v>Asian</v>
      </c>
    </row>
    <row r="57" ht="14.25" customHeight="1">
      <c r="A57" s="1" t="s">
        <v>229</v>
      </c>
      <c r="B57" s="1" t="s">
        <v>230</v>
      </c>
      <c r="C57" s="1" t="s">
        <v>5</v>
      </c>
      <c r="D57" s="1" t="s">
        <v>231</v>
      </c>
      <c r="F57" s="1" t="str">
        <f>IFERROR(__xludf.DUMMYFUNCTION("""COMPUTED_VALUE"""),"747974")</f>
        <v>747974</v>
      </c>
      <c r="G57" s="1" t="str">
        <f t="shared" si="1"/>
        <v>02/10/2023</v>
      </c>
      <c r="H57" s="1" t="str">
        <f t="shared" si="2"/>
        <v>8/14/1966</v>
      </c>
      <c r="I57" s="1" t="str">
        <f t="shared" si="3"/>
        <v>Gold</v>
      </c>
      <c r="J57" s="1" t="str">
        <f t="shared" si="4"/>
        <v>Asian</v>
      </c>
    </row>
    <row r="58" ht="14.25" customHeight="1">
      <c r="A58" s="1" t="s">
        <v>229</v>
      </c>
      <c r="B58" s="1" t="s">
        <v>230</v>
      </c>
      <c r="C58" s="1" t="s">
        <v>6</v>
      </c>
      <c r="D58" s="1" t="s">
        <v>21</v>
      </c>
      <c r="F58" s="1" t="str">
        <f>IFERROR(__xludf.DUMMYFUNCTION("""COMPUTED_VALUE"""),"435231")</f>
        <v>435231</v>
      </c>
      <c r="G58" s="1" t="str">
        <f t="shared" si="1"/>
        <v>02/11/2023</v>
      </c>
      <c r="H58" s="1" t="str">
        <f t="shared" si="2"/>
        <v>1/2/2012</v>
      </c>
      <c r="I58" s="1" t="str">
        <f t="shared" si="3"/>
        <v>Gold</v>
      </c>
      <c r="J58" s="1" t="str">
        <f t="shared" si="4"/>
        <v>Black</v>
      </c>
    </row>
    <row r="59" ht="14.25" customHeight="1">
      <c r="A59" s="1" t="s">
        <v>232</v>
      </c>
      <c r="B59" s="1" t="s">
        <v>233</v>
      </c>
      <c r="C59" s="1" t="s">
        <v>7</v>
      </c>
      <c r="D59" s="1" t="s">
        <v>9</v>
      </c>
      <c r="F59" s="1" t="str">
        <f>IFERROR(__xludf.DUMMYFUNCTION("""COMPUTED_VALUE"""),"440691")</f>
        <v>440691</v>
      </c>
      <c r="G59" s="1" t="str">
        <f t="shared" si="1"/>
        <v>02/16/2023</v>
      </c>
      <c r="H59" s="1" t="str">
        <f t="shared" si="2"/>
        <v>7/2/2013</v>
      </c>
      <c r="I59" s="1" t="str">
        <f t="shared" si="3"/>
        <v>Basic</v>
      </c>
      <c r="J59" s="1" t="str">
        <f t="shared" si="4"/>
        <v>White</v>
      </c>
    </row>
    <row r="60" ht="14.25" customHeight="1">
      <c r="A60" s="1" t="s">
        <v>232</v>
      </c>
      <c r="B60" s="1" t="s">
        <v>233</v>
      </c>
      <c r="C60" s="1" t="s">
        <v>5</v>
      </c>
      <c r="D60" s="1" t="s">
        <v>234</v>
      </c>
      <c r="F60" s="1" t="str">
        <f>IFERROR(__xludf.DUMMYFUNCTION("""COMPUTED_VALUE"""),"639573")</f>
        <v>639573</v>
      </c>
      <c r="G60" s="1" t="str">
        <f t="shared" si="1"/>
        <v>02/3/2023</v>
      </c>
      <c r="H60" s="1" t="str">
        <f t="shared" si="2"/>
        <v>10/7/1943</v>
      </c>
      <c r="I60" s="1" t="str">
        <f t="shared" si="3"/>
        <v>Gold</v>
      </c>
      <c r="J60" s="1" t="str">
        <f t="shared" si="4"/>
        <v>Other</v>
      </c>
    </row>
    <row r="61" ht="14.25" customHeight="1">
      <c r="A61" s="1" t="s">
        <v>232</v>
      </c>
      <c r="B61" s="1" t="s">
        <v>233</v>
      </c>
      <c r="C61" s="1" t="s">
        <v>6</v>
      </c>
      <c r="D61" s="1" t="s">
        <v>21</v>
      </c>
      <c r="F61" s="1" t="str">
        <f>IFERROR(__xludf.DUMMYFUNCTION("""COMPUTED_VALUE"""),"793000")</f>
        <v>793000</v>
      </c>
      <c r="G61" s="1" t="str">
        <f t="shared" si="1"/>
        <v>02/12/2023</v>
      </c>
      <c r="H61" s="1" t="str">
        <f t="shared" si="2"/>
        <v>4/29/1951</v>
      </c>
      <c r="I61" s="1" t="str">
        <f t="shared" si="3"/>
        <v>Basic</v>
      </c>
      <c r="J61" s="1" t="str">
        <f t="shared" si="4"/>
        <v>Asian</v>
      </c>
    </row>
    <row r="62" ht="14.25" customHeight="1">
      <c r="A62" s="1" t="s">
        <v>235</v>
      </c>
      <c r="B62" s="1" t="s">
        <v>236</v>
      </c>
      <c r="C62" s="1" t="s">
        <v>7</v>
      </c>
      <c r="D62" s="1" t="s">
        <v>25</v>
      </c>
      <c r="F62" s="1" t="str">
        <f>IFERROR(__xludf.DUMMYFUNCTION("""COMPUTED_VALUE"""),"418614")</f>
        <v>418614</v>
      </c>
      <c r="G62" s="1" t="str">
        <f t="shared" si="1"/>
        <v>02/22/2023</v>
      </c>
      <c r="H62" s="1" t="str">
        <f t="shared" si="2"/>
        <v>11/17/2013</v>
      </c>
      <c r="I62" s="1" t="str">
        <f t="shared" si="3"/>
        <v>Gold</v>
      </c>
      <c r="J62" s="1" t="str">
        <f t="shared" si="4"/>
        <v>White</v>
      </c>
    </row>
    <row r="63" ht="14.25" customHeight="1">
      <c r="A63" s="1" t="s">
        <v>235</v>
      </c>
      <c r="B63" s="1" t="s">
        <v>236</v>
      </c>
      <c r="C63" s="1" t="s">
        <v>5</v>
      </c>
      <c r="D63" s="1" t="s">
        <v>237</v>
      </c>
      <c r="F63" s="1" t="str">
        <f>IFERROR(__xludf.DUMMYFUNCTION("""COMPUTED_VALUE"""),"829902")</f>
        <v>829902</v>
      </c>
      <c r="G63" s="1" t="str">
        <f t="shared" si="1"/>
        <v>02/11/2023</v>
      </c>
      <c r="H63" s="1" t="str">
        <f t="shared" si="2"/>
        <v>4/14/1968</v>
      </c>
      <c r="I63" s="1" t="str">
        <f t="shared" si="3"/>
        <v>Platinum</v>
      </c>
      <c r="J63" s="1" t="str">
        <f t="shared" si="4"/>
        <v>Other</v>
      </c>
    </row>
    <row r="64" ht="14.25" customHeight="1">
      <c r="A64" s="1" t="s">
        <v>235</v>
      </c>
      <c r="B64" s="1" t="s">
        <v>236</v>
      </c>
      <c r="C64" s="1" t="s">
        <v>6</v>
      </c>
      <c r="D64" s="1" t="s">
        <v>21</v>
      </c>
      <c r="F64" s="1" t="str">
        <f>IFERROR(__xludf.DUMMYFUNCTION("""COMPUTED_VALUE"""),"533119")</f>
        <v>533119</v>
      </c>
      <c r="G64" s="1" t="str">
        <f t="shared" si="1"/>
        <v>02/17/2023</v>
      </c>
      <c r="H64" s="1" t="str">
        <f t="shared" si="2"/>
        <v>1/25/1960</v>
      </c>
      <c r="I64" s="1" t="str">
        <f t="shared" si="3"/>
        <v>Platinum</v>
      </c>
      <c r="J64" s="1" t="str">
        <f t="shared" si="4"/>
        <v>White</v>
      </c>
    </row>
    <row r="65" ht="14.25" customHeight="1">
      <c r="A65" s="1" t="s">
        <v>238</v>
      </c>
      <c r="B65" s="1" t="s">
        <v>239</v>
      </c>
      <c r="C65" s="1" t="s">
        <v>7</v>
      </c>
      <c r="D65" s="1" t="s">
        <v>13</v>
      </c>
      <c r="F65" s="1" t="str">
        <f>IFERROR(__xludf.DUMMYFUNCTION("""COMPUTED_VALUE"""),"287391")</f>
        <v>287391</v>
      </c>
      <c r="G65" s="1" t="str">
        <f t="shared" si="1"/>
        <v>02/6/2023</v>
      </c>
      <c r="H65" s="1" t="str">
        <f t="shared" si="2"/>
        <v>11/25/1954</v>
      </c>
      <c r="I65" s="1" t="str">
        <f t="shared" si="3"/>
        <v>Platinum</v>
      </c>
      <c r="J65" s="1" t="str">
        <f t="shared" si="4"/>
        <v>Other</v>
      </c>
    </row>
    <row r="66" ht="14.25" customHeight="1">
      <c r="A66" s="1" t="s">
        <v>238</v>
      </c>
      <c r="B66" s="1" t="s">
        <v>239</v>
      </c>
      <c r="C66" s="1" t="s">
        <v>5</v>
      </c>
      <c r="D66" s="1" t="s">
        <v>240</v>
      </c>
      <c r="F66" s="1" t="str">
        <f>IFERROR(__xludf.DUMMYFUNCTION("""COMPUTED_VALUE"""),"913984")</f>
        <v>913984</v>
      </c>
      <c r="G66" s="1" t="str">
        <f t="shared" si="1"/>
        <v>02/15/2023</v>
      </c>
      <c r="H66" s="1" t="str">
        <f t="shared" si="2"/>
        <v>9/6/2008</v>
      </c>
      <c r="I66" s="1" t="str">
        <f t="shared" si="3"/>
        <v>Platinum</v>
      </c>
      <c r="J66" s="1" t="str">
        <f t="shared" si="4"/>
        <v>White</v>
      </c>
    </row>
    <row r="67" ht="14.25" customHeight="1">
      <c r="A67" s="1" t="s">
        <v>238</v>
      </c>
      <c r="B67" s="1" t="s">
        <v>239</v>
      </c>
      <c r="C67" s="1" t="s">
        <v>6</v>
      </c>
      <c r="D67" s="1" t="s">
        <v>15</v>
      </c>
      <c r="F67" s="1" t="str">
        <f>IFERROR(__xludf.DUMMYFUNCTION("""COMPUTED_VALUE"""),"336949")</f>
        <v>336949</v>
      </c>
      <c r="G67" s="1" t="str">
        <f t="shared" si="1"/>
        <v>02/27/2023</v>
      </c>
      <c r="H67" s="1" t="str">
        <f t="shared" si="2"/>
        <v>12/20/1976</v>
      </c>
      <c r="I67" s="1" t="str">
        <f t="shared" si="3"/>
        <v>Platinum</v>
      </c>
      <c r="J67" s="1" t="str">
        <f t="shared" si="4"/>
        <v>White</v>
      </c>
    </row>
    <row r="68" ht="14.25" customHeight="1">
      <c r="A68" s="1" t="s">
        <v>241</v>
      </c>
      <c r="B68" s="1" t="s">
        <v>208</v>
      </c>
      <c r="C68" s="1" t="s">
        <v>7</v>
      </c>
      <c r="D68" s="1" t="s">
        <v>19</v>
      </c>
      <c r="F68" s="1" t="str">
        <f>IFERROR(__xludf.DUMMYFUNCTION("""COMPUTED_VALUE"""),"523380")</f>
        <v>523380</v>
      </c>
      <c r="G68" s="1" t="str">
        <f t="shared" si="1"/>
        <v>02/21/2023</v>
      </c>
      <c r="H68" s="1" t="str">
        <f t="shared" si="2"/>
        <v>12/23/1994</v>
      </c>
      <c r="I68" s="1" t="str">
        <f t="shared" si="3"/>
        <v>Platinum</v>
      </c>
      <c r="J68" s="1" t="str">
        <f t="shared" si="4"/>
        <v>Asian</v>
      </c>
    </row>
    <row r="69" ht="14.25" customHeight="1">
      <c r="A69" s="1" t="s">
        <v>241</v>
      </c>
      <c r="B69" s="1" t="s">
        <v>208</v>
      </c>
      <c r="C69" s="1" t="s">
        <v>5</v>
      </c>
      <c r="D69" s="1" t="s">
        <v>242</v>
      </c>
      <c r="F69" s="1" t="str">
        <f>IFERROR(__xludf.DUMMYFUNCTION("""COMPUTED_VALUE"""),"645286")</f>
        <v>645286</v>
      </c>
      <c r="G69" s="1" t="str">
        <f t="shared" si="1"/>
        <v>02/15/2023</v>
      </c>
      <c r="H69" s="1" t="str">
        <f t="shared" si="2"/>
        <v>5/7/2006</v>
      </c>
      <c r="I69" s="1" t="str">
        <f t="shared" si="3"/>
        <v>Basic</v>
      </c>
      <c r="J69" s="1" t="str">
        <f t="shared" si="4"/>
        <v>Other</v>
      </c>
    </row>
    <row r="70" ht="14.25" customHeight="1">
      <c r="A70" s="1" t="s">
        <v>241</v>
      </c>
      <c r="B70" s="1" t="s">
        <v>208</v>
      </c>
      <c r="C70" s="1" t="s">
        <v>6</v>
      </c>
      <c r="D70" s="1" t="s">
        <v>15</v>
      </c>
      <c r="F70" s="1" t="str">
        <f>IFERROR(__xludf.DUMMYFUNCTION("""COMPUTED_VALUE"""),"426503")</f>
        <v>426503</v>
      </c>
      <c r="G70" s="1" t="str">
        <f t="shared" si="1"/>
        <v>02/26/2023</v>
      </c>
      <c r="H70" s="1" t="str">
        <f t="shared" si="2"/>
        <v>9/3/2009</v>
      </c>
      <c r="I70" s="1" t="str">
        <f t="shared" si="3"/>
        <v>Platinum</v>
      </c>
      <c r="J70" s="1" t="str">
        <f t="shared" si="4"/>
        <v>Other</v>
      </c>
    </row>
    <row r="71" ht="14.25" customHeight="1">
      <c r="A71" s="1" t="s">
        <v>243</v>
      </c>
      <c r="B71" s="1" t="s">
        <v>194</v>
      </c>
      <c r="C71" s="1" t="s">
        <v>7</v>
      </c>
      <c r="D71" s="1" t="s">
        <v>19</v>
      </c>
      <c r="F71" s="1" t="str">
        <f>IFERROR(__xludf.DUMMYFUNCTION("""COMPUTED_VALUE"""),"322646")</f>
        <v>322646</v>
      </c>
      <c r="G71" s="1" t="str">
        <f t="shared" si="1"/>
        <v>02/27/2023</v>
      </c>
      <c r="H71" s="1" t="str">
        <f t="shared" si="2"/>
        <v>2/24/1956</v>
      </c>
      <c r="I71" s="1" t="str">
        <f t="shared" si="3"/>
        <v>Basic</v>
      </c>
      <c r="J71" s="1" t="str">
        <f t="shared" si="4"/>
        <v>Asian</v>
      </c>
    </row>
    <row r="72" ht="14.25" customHeight="1">
      <c r="A72" s="1" t="s">
        <v>243</v>
      </c>
      <c r="B72" s="1" t="s">
        <v>194</v>
      </c>
      <c r="C72" s="1" t="s">
        <v>5</v>
      </c>
      <c r="D72" s="1" t="s">
        <v>244</v>
      </c>
      <c r="F72" s="1" t="str">
        <f>IFERROR(__xludf.DUMMYFUNCTION("""COMPUTED_VALUE"""),"430823")</f>
        <v>430823</v>
      </c>
      <c r="G72" s="1" t="str">
        <f t="shared" si="1"/>
        <v>02/27/2023</v>
      </c>
      <c r="H72" s="1" t="str">
        <f t="shared" si="2"/>
        <v>11/22/1986</v>
      </c>
      <c r="I72" s="1" t="str">
        <f t="shared" si="3"/>
        <v>Gold</v>
      </c>
      <c r="J72" s="1" t="str">
        <f t="shared" si="4"/>
        <v>White</v>
      </c>
    </row>
    <row r="73" ht="14.25" customHeight="1">
      <c r="A73" s="1" t="s">
        <v>243</v>
      </c>
      <c r="B73" s="1" t="s">
        <v>194</v>
      </c>
      <c r="C73" s="1" t="s">
        <v>6</v>
      </c>
      <c r="D73" s="1" t="s">
        <v>15</v>
      </c>
      <c r="F73" s="1" t="str">
        <f>IFERROR(__xludf.DUMMYFUNCTION("""COMPUTED_VALUE"""),"905817")</f>
        <v>905817</v>
      </c>
      <c r="G73" s="1" t="str">
        <f t="shared" si="1"/>
        <v>02/17/2023</v>
      </c>
      <c r="H73" s="1" t="str">
        <f t="shared" si="2"/>
        <v>4/24/1969</v>
      </c>
      <c r="I73" s="1" t="str">
        <f t="shared" si="3"/>
        <v>Gold</v>
      </c>
      <c r="J73" s="1" t="str">
        <f t="shared" si="4"/>
        <v>Other</v>
      </c>
    </row>
    <row r="74" ht="14.25" customHeight="1">
      <c r="A74" s="1" t="s">
        <v>245</v>
      </c>
      <c r="B74" s="1" t="s">
        <v>246</v>
      </c>
      <c r="C74" s="1" t="s">
        <v>7</v>
      </c>
      <c r="D74" s="1" t="s">
        <v>25</v>
      </c>
      <c r="F74" s="1" t="str">
        <f>IFERROR(__xludf.DUMMYFUNCTION("""COMPUTED_VALUE"""),"978249")</f>
        <v>978249</v>
      </c>
      <c r="G74" s="1" t="str">
        <f t="shared" si="1"/>
        <v>02/20/2023</v>
      </c>
      <c r="H74" s="1" t="str">
        <f t="shared" si="2"/>
        <v>7/9/1944</v>
      </c>
      <c r="I74" s="1" t="str">
        <f t="shared" si="3"/>
        <v>Platinum</v>
      </c>
      <c r="J74" s="1" t="str">
        <f t="shared" si="4"/>
        <v>Asian</v>
      </c>
    </row>
    <row r="75" ht="14.25" customHeight="1">
      <c r="A75" s="1" t="s">
        <v>245</v>
      </c>
      <c r="B75" s="1" t="s">
        <v>246</v>
      </c>
      <c r="C75" s="1" t="s">
        <v>5</v>
      </c>
      <c r="D75" s="1" t="s">
        <v>247</v>
      </c>
      <c r="F75" s="1" t="str">
        <f>IFERROR(__xludf.DUMMYFUNCTION("""COMPUTED_VALUE"""),"863998")</f>
        <v>863998</v>
      </c>
      <c r="G75" s="1" t="str">
        <f t="shared" si="1"/>
        <v>02/24/2023</v>
      </c>
      <c r="H75" s="1" t="str">
        <f t="shared" si="2"/>
        <v>11/23/2006</v>
      </c>
      <c r="I75" s="1" t="str">
        <f t="shared" si="3"/>
        <v>Platinum</v>
      </c>
      <c r="J75" s="1" t="str">
        <f t="shared" si="4"/>
        <v>Asian</v>
      </c>
    </row>
    <row r="76" ht="14.25" customHeight="1">
      <c r="A76" s="1" t="s">
        <v>245</v>
      </c>
      <c r="B76" s="1" t="s">
        <v>246</v>
      </c>
      <c r="C76" s="1" t="s">
        <v>6</v>
      </c>
      <c r="D76" s="1" t="s">
        <v>11</v>
      </c>
      <c r="F76" s="1" t="str">
        <f>IFERROR(__xludf.DUMMYFUNCTION("""COMPUTED_VALUE"""),"535172")</f>
        <v>535172</v>
      </c>
      <c r="G76" s="1" t="str">
        <f t="shared" si="1"/>
        <v>02/18/2023</v>
      </c>
      <c r="H76" s="1" t="str">
        <f t="shared" si="2"/>
        <v>12/23/1964</v>
      </c>
      <c r="I76" s="1" t="str">
        <f t="shared" si="3"/>
        <v>Basic</v>
      </c>
      <c r="J76" s="1" t="str">
        <f t="shared" si="4"/>
        <v>Asian</v>
      </c>
    </row>
    <row r="77" ht="14.25" customHeight="1">
      <c r="A77" s="1" t="s">
        <v>248</v>
      </c>
      <c r="B77" s="1" t="s">
        <v>249</v>
      </c>
      <c r="C77" s="1" t="s">
        <v>7</v>
      </c>
      <c r="D77" s="1" t="s">
        <v>13</v>
      </c>
      <c r="F77" s="1" t="str">
        <f>IFERROR(__xludf.DUMMYFUNCTION("""COMPUTED_VALUE"""),"884641")</f>
        <v>884641</v>
      </c>
      <c r="G77" s="1" t="str">
        <f t="shared" si="1"/>
        <v>02/12/2023</v>
      </c>
      <c r="H77" s="1" t="str">
        <f t="shared" si="2"/>
        <v>2/20/1970</v>
      </c>
      <c r="I77" s="1" t="str">
        <f t="shared" si="3"/>
        <v>Basic</v>
      </c>
      <c r="J77" s="1" t="str">
        <f t="shared" si="4"/>
        <v>Other</v>
      </c>
    </row>
    <row r="78" ht="14.25" customHeight="1">
      <c r="A78" s="1" t="s">
        <v>248</v>
      </c>
      <c r="B78" s="1" t="s">
        <v>249</v>
      </c>
      <c r="C78" s="1" t="s">
        <v>5</v>
      </c>
      <c r="D78" s="1" t="s">
        <v>250</v>
      </c>
      <c r="F78" s="1" t="str">
        <f>IFERROR(__xludf.DUMMYFUNCTION("""COMPUTED_VALUE"""),"695485")</f>
        <v>695485</v>
      </c>
      <c r="G78" s="1" t="str">
        <f t="shared" si="1"/>
        <v>02/12/2023</v>
      </c>
      <c r="H78" s="1" t="str">
        <f t="shared" si="2"/>
        <v>11/26/1954</v>
      </c>
      <c r="I78" s="1" t="str">
        <f t="shared" si="3"/>
        <v>Gold</v>
      </c>
      <c r="J78" s="1" t="str">
        <f t="shared" si="4"/>
        <v>White</v>
      </c>
    </row>
    <row r="79" ht="14.25" customHeight="1">
      <c r="A79" s="1" t="s">
        <v>248</v>
      </c>
      <c r="B79" s="1" t="s">
        <v>249</v>
      </c>
      <c r="C79" s="1" t="s">
        <v>6</v>
      </c>
      <c r="D79" s="1" t="s">
        <v>15</v>
      </c>
      <c r="F79" s="1" t="str">
        <f>IFERROR(__xludf.DUMMYFUNCTION("""COMPUTED_VALUE"""),"583851")</f>
        <v>583851</v>
      </c>
      <c r="G79" s="1" t="str">
        <f t="shared" si="1"/>
        <v>02/16/2023</v>
      </c>
      <c r="H79" s="1" t="str">
        <f t="shared" si="2"/>
        <v>2/26/2006</v>
      </c>
      <c r="I79" s="1" t="str">
        <f t="shared" si="3"/>
        <v>Gold</v>
      </c>
      <c r="J79" s="1" t="str">
        <f t="shared" si="4"/>
        <v>Other</v>
      </c>
    </row>
    <row r="80" ht="14.25" customHeight="1">
      <c r="A80" s="1" t="s">
        <v>251</v>
      </c>
      <c r="B80" s="1" t="s">
        <v>191</v>
      </c>
      <c r="C80" s="1" t="s">
        <v>7</v>
      </c>
      <c r="D80" s="1" t="s">
        <v>13</v>
      </c>
      <c r="F80" s="1" t="str">
        <f>IFERROR(__xludf.DUMMYFUNCTION("""COMPUTED_VALUE"""),"436544")</f>
        <v>436544</v>
      </c>
      <c r="G80" s="1" t="str">
        <f t="shared" si="1"/>
        <v>02/11/2023</v>
      </c>
      <c r="H80" s="1" t="str">
        <f t="shared" si="2"/>
        <v>4/10/2013</v>
      </c>
      <c r="I80" s="1" t="str">
        <f t="shared" si="3"/>
        <v>Basic</v>
      </c>
      <c r="J80" s="1" t="str">
        <f t="shared" si="4"/>
        <v>Black</v>
      </c>
    </row>
    <row r="81" ht="14.25" customHeight="1">
      <c r="A81" s="1" t="s">
        <v>251</v>
      </c>
      <c r="B81" s="1" t="s">
        <v>191</v>
      </c>
      <c r="C81" s="1" t="s">
        <v>5</v>
      </c>
      <c r="D81" s="1" t="s">
        <v>252</v>
      </c>
      <c r="F81" s="1" t="str">
        <f>IFERROR(__xludf.DUMMYFUNCTION("""COMPUTED_VALUE"""),"844387")</f>
        <v>844387</v>
      </c>
      <c r="G81" s="1" t="str">
        <f t="shared" si="1"/>
        <v>02/2/2023</v>
      </c>
      <c r="H81" s="1" t="str">
        <f t="shared" si="2"/>
        <v>1/17/1950</v>
      </c>
      <c r="I81" s="1" t="str">
        <f t="shared" si="3"/>
        <v>Basic</v>
      </c>
      <c r="J81" s="1" t="str">
        <f t="shared" si="4"/>
        <v>Asian</v>
      </c>
    </row>
    <row r="82" ht="14.25" customHeight="1">
      <c r="A82" s="1" t="s">
        <v>251</v>
      </c>
      <c r="B82" s="1" t="s">
        <v>191</v>
      </c>
      <c r="C82" s="1" t="s">
        <v>6</v>
      </c>
      <c r="D82" s="1" t="s">
        <v>21</v>
      </c>
      <c r="F82" s="1" t="str">
        <f>IFERROR(__xludf.DUMMYFUNCTION("""COMPUTED_VALUE"""),"128220")</f>
        <v>128220</v>
      </c>
      <c r="G82" s="1" t="str">
        <f t="shared" si="1"/>
        <v>02/27/2023</v>
      </c>
      <c r="H82" s="1" t="str">
        <f t="shared" si="2"/>
        <v>3/22/1947</v>
      </c>
      <c r="I82" s="1" t="str">
        <f t="shared" si="3"/>
        <v>Basic</v>
      </c>
      <c r="J82" s="1" t="str">
        <f t="shared" si="4"/>
        <v>Other</v>
      </c>
    </row>
    <row r="83" ht="14.25" customHeight="1">
      <c r="A83" s="1" t="s">
        <v>253</v>
      </c>
      <c r="B83" s="1" t="s">
        <v>236</v>
      </c>
      <c r="C83" s="1" t="s">
        <v>7</v>
      </c>
      <c r="D83" s="1" t="s">
        <v>9</v>
      </c>
      <c r="F83" s="1" t="str">
        <f>IFERROR(__xludf.DUMMYFUNCTION("""COMPUTED_VALUE"""),"737345")</f>
        <v>737345</v>
      </c>
      <c r="G83" s="1" t="str">
        <f t="shared" si="1"/>
        <v>02/14/2023</v>
      </c>
      <c r="H83" s="1" t="str">
        <f t="shared" si="2"/>
        <v>1/27/1971</v>
      </c>
      <c r="I83" s="1" t="str">
        <f t="shared" si="3"/>
        <v>Gold</v>
      </c>
      <c r="J83" s="1" t="str">
        <f t="shared" si="4"/>
        <v>Other</v>
      </c>
    </row>
    <row r="84" ht="14.25" customHeight="1">
      <c r="A84" s="1" t="s">
        <v>253</v>
      </c>
      <c r="B84" s="1" t="s">
        <v>236</v>
      </c>
      <c r="C84" s="1" t="s">
        <v>5</v>
      </c>
      <c r="D84" s="1" t="s">
        <v>254</v>
      </c>
      <c r="F84" s="1" t="str">
        <f>IFERROR(__xludf.DUMMYFUNCTION("""COMPUTED_VALUE"""),"431391")</f>
        <v>431391</v>
      </c>
      <c r="G84" s="1" t="str">
        <f t="shared" si="1"/>
        <v>02/2/2023</v>
      </c>
      <c r="H84" s="1" t="str">
        <f t="shared" si="2"/>
        <v>4/25/1980</v>
      </c>
      <c r="I84" s="1" t="str">
        <f t="shared" si="3"/>
        <v>Basic</v>
      </c>
      <c r="J84" s="1" t="str">
        <f t="shared" si="4"/>
        <v>Other</v>
      </c>
    </row>
    <row r="85" ht="14.25" customHeight="1">
      <c r="A85" s="1" t="s">
        <v>253</v>
      </c>
      <c r="B85" s="1" t="s">
        <v>236</v>
      </c>
      <c r="C85" s="1" t="s">
        <v>6</v>
      </c>
      <c r="D85" s="1" t="s">
        <v>15</v>
      </c>
      <c r="F85" s="1" t="str">
        <f>IFERROR(__xludf.DUMMYFUNCTION("""COMPUTED_VALUE"""),"375824")</f>
        <v>375824</v>
      </c>
      <c r="G85" s="1" t="str">
        <f t="shared" si="1"/>
        <v>02/10/2023</v>
      </c>
      <c r="H85" s="1" t="str">
        <f t="shared" si="2"/>
        <v>7/5/1978</v>
      </c>
      <c r="I85" s="1" t="str">
        <f t="shared" si="3"/>
        <v>Platinum</v>
      </c>
      <c r="J85" s="1" t="str">
        <f t="shared" si="4"/>
        <v>Other</v>
      </c>
    </row>
    <row r="86" ht="14.25" customHeight="1">
      <c r="A86" s="1" t="s">
        <v>255</v>
      </c>
      <c r="B86" s="1" t="s">
        <v>239</v>
      </c>
      <c r="C86" s="1" t="s">
        <v>7</v>
      </c>
      <c r="D86" s="1" t="s">
        <v>19</v>
      </c>
      <c r="F86" s="1" t="str">
        <f>IFERROR(__xludf.DUMMYFUNCTION("""COMPUTED_VALUE"""),"247253")</f>
        <v>247253</v>
      </c>
      <c r="G86" s="1" t="str">
        <f t="shared" si="1"/>
        <v>02/21/2023</v>
      </c>
      <c r="H86" s="1" t="str">
        <f t="shared" si="2"/>
        <v>9/26/1987</v>
      </c>
      <c r="I86" s="1" t="str">
        <f t="shared" si="3"/>
        <v>Gold</v>
      </c>
      <c r="J86" s="1" t="str">
        <f t="shared" si="4"/>
        <v>Asian</v>
      </c>
    </row>
    <row r="87" ht="14.25" customHeight="1">
      <c r="A87" s="1" t="s">
        <v>255</v>
      </c>
      <c r="B87" s="1" t="s">
        <v>239</v>
      </c>
      <c r="C87" s="1" t="s">
        <v>5</v>
      </c>
      <c r="D87" s="1" t="s">
        <v>256</v>
      </c>
      <c r="F87" s="1"/>
    </row>
    <row r="88" ht="14.25" customHeight="1">
      <c r="A88" s="1" t="s">
        <v>255</v>
      </c>
      <c r="B88" s="1" t="s">
        <v>239</v>
      </c>
      <c r="C88" s="1" t="s">
        <v>6</v>
      </c>
      <c r="D88" s="1" t="s">
        <v>11</v>
      </c>
    </row>
    <row r="89" ht="14.25" customHeight="1">
      <c r="A89" s="1" t="s">
        <v>257</v>
      </c>
      <c r="B89" s="1" t="s">
        <v>214</v>
      </c>
      <c r="C89" s="1" t="s">
        <v>7</v>
      </c>
      <c r="D89" s="1" t="s">
        <v>9</v>
      </c>
    </row>
    <row r="90" ht="14.25" customHeight="1">
      <c r="A90" s="1" t="s">
        <v>257</v>
      </c>
      <c r="B90" s="1" t="s">
        <v>214</v>
      </c>
      <c r="C90" s="1" t="s">
        <v>5</v>
      </c>
      <c r="D90" s="1" t="s">
        <v>258</v>
      </c>
    </row>
    <row r="91" ht="14.25" customHeight="1">
      <c r="A91" s="1" t="s">
        <v>257</v>
      </c>
      <c r="B91" s="1" t="s">
        <v>214</v>
      </c>
      <c r="C91" s="1" t="s">
        <v>6</v>
      </c>
      <c r="D91" s="1" t="s">
        <v>21</v>
      </c>
    </row>
    <row r="92" ht="14.25" customHeight="1">
      <c r="A92" s="1" t="s">
        <v>259</v>
      </c>
      <c r="B92" s="1" t="s">
        <v>246</v>
      </c>
      <c r="C92" s="1" t="s">
        <v>7</v>
      </c>
      <c r="D92" s="1" t="s">
        <v>25</v>
      </c>
    </row>
    <row r="93" ht="14.25" customHeight="1">
      <c r="A93" s="1" t="s">
        <v>259</v>
      </c>
      <c r="B93" s="1" t="s">
        <v>246</v>
      </c>
      <c r="C93" s="1" t="s">
        <v>5</v>
      </c>
      <c r="D93" s="1" t="s">
        <v>260</v>
      </c>
    </row>
    <row r="94" ht="14.25" customHeight="1">
      <c r="A94" s="1" t="s">
        <v>259</v>
      </c>
      <c r="B94" s="1" t="s">
        <v>246</v>
      </c>
      <c r="C94" s="1" t="s">
        <v>6</v>
      </c>
      <c r="D94" s="1" t="s">
        <v>15</v>
      </c>
    </row>
    <row r="95" ht="14.25" customHeight="1">
      <c r="A95" s="1" t="s">
        <v>261</v>
      </c>
      <c r="B95" s="1" t="s">
        <v>182</v>
      </c>
      <c r="C95" s="1" t="s">
        <v>7</v>
      </c>
      <c r="D95" s="1" t="s">
        <v>13</v>
      </c>
    </row>
    <row r="96" ht="14.25" customHeight="1">
      <c r="A96" s="1" t="s">
        <v>261</v>
      </c>
      <c r="B96" s="1" t="s">
        <v>182</v>
      </c>
      <c r="C96" s="1" t="s">
        <v>5</v>
      </c>
      <c r="D96" s="1" t="s">
        <v>262</v>
      </c>
    </row>
    <row r="97" ht="14.25" customHeight="1">
      <c r="A97" s="1" t="s">
        <v>261</v>
      </c>
      <c r="B97" s="1" t="s">
        <v>182</v>
      </c>
      <c r="C97" s="1" t="s">
        <v>6</v>
      </c>
      <c r="D97" s="1" t="s">
        <v>11</v>
      </c>
    </row>
    <row r="98" ht="14.25" customHeight="1">
      <c r="A98" s="1" t="s">
        <v>263</v>
      </c>
      <c r="B98" s="1" t="s">
        <v>264</v>
      </c>
      <c r="C98" s="1" t="s">
        <v>7</v>
      </c>
      <c r="D98" s="1" t="s">
        <v>19</v>
      </c>
    </row>
    <row r="99" ht="14.25" customHeight="1">
      <c r="A99" s="1" t="s">
        <v>263</v>
      </c>
      <c r="B99" s="1" t="s">
        <v>264</v>
      </c>
      <c r="C99" s="1" t="s">
        <v>5</v>
      </c>
      <c r="D99" s="1" t="s">
        <v>265</v>
      </c>
    </row>
    <row r="100" ht="14.25" customHeight="1">
      <c r="A100" s="1" t="s">
        <v>263</v>
      </c>
      <c r="B100" s="1" t="s">
        <v>264</v>
      </c>
      <c r="C100" s="1" t="s">
        <v>6</v>
      </c>
      <c r="D100" s="1" t="s">
        <v>11</v>
      </c>
    </row>
    <row r="101" ht="14.25" customHeight="1">
      <c r="A101" s="1" t="s">
        <v>266</v>
      </c>
      <c r="B101" s="1" t="s">
        <v>185</v>
      </c>
      <c r="C101" s="1" t="s">
        <v>7</v>
      </c>
      <c r="D101" s="1" t="s">
        <v>19</v>
      </c>
    </row>
    <row r="102" ht="14.25" customHeight="1">
      <c r="A102" s="1" t="s">
        <v>266</v>
      </c>
      <c r="B102" s="1" t="s">
        <v>185</v>
      </c>
      <c r="C102" s="1" t="s">
        <v>5</v>
      </c>
      <c r="D102" s="1" t="s">
        <v>267</v>
      </c>
    </row>
    <row r="103" ht="14.25" customHeight="1">
      <c r="A103" s="1" t="s">
        <v>266</v>
      </c>
      <c r="B103" s="1" t="s">
        <v>185</v>
      </c>
      <c r="C103" s="1" t="s">
        <v>6</v>
      </c>
      <c r="D103" s="1" t="s">
        <v>15</v>
      </c>
    </row>
    <row r="104" ht="14.25" customHeight="1">
      <c r="A104" s="1" t="s">
        <v>268</v>
      </c>
      <c r="B104" s="1" t="s">
        <v>182</v>
      </c>
      <c r="C104" s="1" t="s">
        <v>7</v>
      </c>
      <c r="D104" s="1" t="s">
        <v>9</v>
      </c>
    </row>
    <row r="105" ht="14.25" customHeight="1">
      <c r="A105" s="1" t="s">
        <v>268</v>
      </c>
      <c r="B105" s="1" t="s">
        <v>182</v>
      </c>
      <c r="C105" s="1" t="s">
        <v>5</v>
      </c>
      <c r="D105" s="1" t="s">
        <v>269</v>
      </c>
    </row>
    <row r="106" ht="14.25" customHeight="1">
      <c r="A106" s="1" t="s">
        <v>268</v>
      </c>
      <c r="B106" s="1" t="s">
        <v>182</v>
      </c>
      <c r="C106" s="1" t="s">
        <v>6</v>
      </c>
      <c r="D106" s="1" t="s">
        <v>11</v>
      </c>
    </row>
    <row r="107" ht="14.25" customHeight="1">
      <c r="A107" s="1" t="s">
        <v>270</v>
      </c>
      <c r="B107" s="1" t="s">
        <v>191</v>
      </c>
      <c r="C107" s="1" t="s">
        <v>7</v>
      </c>
      <c r="D107" s="1" t="s">
        <v>25</v>
      </c>
    </row>
    <row r="108" ht="14.25" customHeight="1">
      <c r="A108" s="1" t="s">
        <v>270</v>
      </c>
      <c r="B108" s="1" t="s">
        <v>191</v>
      </c>
      <c r="C108" s="1" t="s">
        <v>5</v>
      </c>
      <c r="D108" s="1" t="s">
        <v>271</v>
      </c>
    </row>
    <row r="109" ht="14.25" customHeight="1">
      <c r="A109" s="1" t="s">
        <v>270</v>
      </c>
      <c r="B109" s="1" t="s">
        <v>191</v>
      </c>
      <c r="C109" s="1" t="s">
        <v>6</v>
      </c>
      <c r="D109" s="1" t="s">
        <v>21</v>
      </c>
    </row>
    <row r="110" ht="14.25" customHeight="1">
      <c r="A110" s="1" t="s">
        <v>272</v>
      </c>
      <c r="B110" s="1" t="s">
        <v>273</v>
      </c>
      <c r="C110" s="1" t="s">
        <v>7</v>
      </c>
      <c r="D110" s="1" t="s">
        <v>25</v>
      </c>
    </row>
    <row r="111" ht="14.25" customHeight="1">
      <c r="A111" s="1" t="s">
        <v>272</v>
      </c>
      <c r="B111" s="1" t="s">
        <v>273</v>
      </c>
      <c r="C111" s="1" t="s">
        <v>5</v>
      </c>
      <c r="D111" s="1" t="s">
        <v>274</v>
      </c>
    </row>
    <row r="112" ht="14.25" customHeight="1">
      <c r="A112" s="1" t="s">
        <v>272</v>
      </c>
      <c r="B112" s="1" t="s">
        <v>273</v>
      </c>
      <c r="C112" s="1" t="s">
        <v>6</v>
      </c>
      <c r="D112" s="1" t="s">
        <v>21</v>
      </c>
    </row>
    <row r="113" ht="14.25" customHeight="1">
      <c r="A113" s="1" t="s">
        <v>275</v>
      </c>
      <c r="B113" s="1" t="s">
        <v>182</v>
      </c>
      <c r="C113" s="1" t="s">
        <v>7</v>
      </c>
      <c r="D113" s="1" t="s">
        <v>19</v>
      </c>
    </row>
    <row r="114" ht="14.25" customHeight="1">
      <c r="A114" s="1" t="s">
        <v>275</v>
      </c>
      <c r="B114" s="1" t="s">
        <v>182</v>
      </c>
      <c r="C114" s="1" t="s">
        <v>5</v>
      </c>
      <c r="D114" s="1" t="s">
        <v>276</v>
      </c>
    </row>
    <row r="115" ht="14.25" customHeight="1">
      <c r="A115" s="1" t="s">
        <v>275</v>
      </c>
      <c r="B115" s="1" t="s">
        <v>182</v>
      </c>
      <c r="C115" s="1" t="s">
        <v>6</v>
      </c>
      <c r="D115" s="1" t="s">
        <v>15</v>
      </c>
    </row>
    <row r="116" ht="14.25" customHeight="1">
      <c r="A116" s="1" t="s">
        <v>277</v>
      </c>
      <c r="B116" s="1" t="s">
        <v>197</v>
      </c>
      <c r="C116" s="1" t="s">
        <v>7</v>
      </c>
      <c r="D116" s="1" t="s">
        <v>9</v>
      </c>
    </row>
    <row r="117" ht="14.25" customHeight="1">
      <c r="A117" s="1" t="s">
        <v>277</v>
      </c>
      <c r="B117" s="1" t="s">
        <v>197</v>
      </c>
      <c r="C117" s="1" t="s">
        <v>5</v>
      </c>
      <c r="D117" s="1" t="s">
        <v>278</v>
      </c>
    </row>
    <row r="118" ht="14.25" customHeight="1">
      <c r="A118" s="1" t="s">
        <v>277</v>
      </c>
      <c r="B118" s="1" t="s">
        <v>197</v>
      </c>
      <c r="C118" s="1" t="s">
        <v>6</v>
      </c>
      <c r="D118" s="1" t="s">
        <v>11</v>
      </c>
    </row>
    <row r="119" ht="14.25" customHeight="1">
      <c r="A119" s="1" t="s">
        <v>279</v>
      </c>
      <c r="B119" s="1" t="s">
        <v>185</v>
      </c>
      <c r="C119" s="1" t="s">
        <v>7</v>
      </c>
      <c r="D119" s="1" t="s">
        <v>19</v>
      </c>
    </row>
    <row r="120" ht="14.25" customHeight="1">
      <c r="A120" s="1" t="s">
        <v>279</v>
      </c>
      <c r="B120" s="1" t="s">
        <v>185</v>
      </c>
      <c r="C120" s="1" t="s">
        <v>5</v>
      </c>
      <c r="D120" s="1" t="s">
        <v>280</v>
      </c>
    </row>
    <row r="121" ht="14.25" customHeight="1">
      <c r="A121" s="1" t="s">
        <v>279</v>
      </c>
      <c r="B121" s="1" t="s">
        <v>185</v>
      </c>
      <c r="C121" s="1" t="s">
        <v>6</v>
      </c>
      <c r="D121" s="1" t="s">
        <v>21</v>
      </c>
    </row>
    <row r="122" ht="14.25" customHeight="1">
      <c r="A122" s="1" t="s">
        <v>281</v>
      </c>
      <c r="B122" s="1" t="s">
        <v>214</v>
      </c>
      <c r="C122" s="1" t="s">
        <v>7</v>
      </c>
      <c r="D122" s="1" t="s">
        <v>19</v>
      </c>
    </row>
    <row r="123" ht="14.25" customHeight="1">
      <c r="A123" s="1" t="s">
        <v>281</v>
      </c>
      <c r="B123" s="1" t="s">
        <v>214</v>
      </c>
      <c r="C123" s="1" t="s">
        <v>5</v>
      </c>
      <c r="D123" s="1" t="s">
        <v>282</v>
      </c>
    </row>
    <row r="124" ht="14.25" customHeight="1">
      <c r="A124" s="1" t="s">
        <v>281</v>
      </c>
      <c r="B124" s="1" t="s">
        <v>214</v>
      </c>
      <c r="C124" s="1" t="s">
        <v>6</v>
      </c>
      <c r="D124" s="1" t="s">
        <v>15</v>
      </c>
    </row>
    <row r="125" ht="14.25" customHeight="1">
      <c r="A125" s="1" t="s">
        <v>283</v>
      </c>
      <c r="B125" s="1" t="s">
        <v>203</v>
      </c>
      <c r="C125" s="1" t="s">
        <v>7</v>
      </c>
      <c r="D125" s="1" t="s">
        <v>13</v>
      </c>
    </row>
    <row r="126" ht="14.25" customHeight="1">
      <c r="A126" s="1" t="s">
        <v>283</v>
      </c>
      <c r="B126" s="1" t="s">
        <v>203</v>
      </c>
      <c r="C126" s="1" t="s">
        <v>5</v>
      </c>
      <c r="D126" s="1" t="s">
        <v>284</v>
      </c>
    </row>
    <row r="127" ht="14.25" customHeight="1">
      <c r="A127" s="1" t="s">
        <v>283</v>
      </c>
      <c r="B127" s="1" t="s">
        <v>203</v>
      </c>
      <c r="C127" s="1" t="s">
        <v>6</v>
      </c>
      <c r="D127" s="1" t="s">
        <v>11</v>
      </c>
    </row>
    <row r="128" ht="14.25" customHeight="1">
      <c r="A128" s="1" t="s">
        <v>285</v>
      </c>
      <c r="B128" s="1" t="s">
        <v>273</v>
      </c>
      <c r="C128" s="1" t="s">
        <v>7</v>
      </c>
      <c r="D128" s="1" t="s">
        <v>13</v>
      </c>
    </row>
    <row r="129" ht="14.25" customHeight="1">
      <c r="A129" s="1" t="s">
        <v>285</v>
      </c>
      <c r="B129" s="1" t="s">
        <v>273</v>
      </c>
      <c r="C129" s="1" t="s">
        <v>5</v>
      </c>
      <c r="D129" s="1" t="s">
        <v>286</v>
      </c>
    </row>
    <row r="130" ht="14.25" customHeight="1">
      <c r="A130" s="1" t="s">
        <v>285</v>
      </c>
      <c r="B130" s="1" t="s">
        <v>273</v>
      </c>
      <c r="C130" s="1" t="s">
        <v>6</v>
      </c>
      <c r="D130" s="1" t="s">
        <v>21</v>
      </c>
    </row>
    <row r="131" ht="14.25" customHeight="1">
      <c r="A131" s="1" t="s">
        <v>287</v>
      </c>
      <c r="B131" s="1" t="s">
        <v>197</v>
      </c>
      <c r="C131" s="1" t="s">
        <v>7</v>
      </c>
      <c r="D131" s="1" t="s">
        <v>9</v>
      </c>
    </row>
    <row r="132" ht="14.25" customHeight="1">
      <c r="A132" s="1" t="s">
        <v>287</v>
      </c>
      <c r="B132" s="1" t="s">
        <v>197</v>
      </c>
      <c r="C132" s="1" t="s">
        <v>5</v>
      </c>
      <c r="D132" s="1" t="s">
        <v>288</v>
      </c>
    </row>
    <row r="133" ht="14.25" customHeight="1">
      <c r="A133" s="1" t="s">
        <v>287</v>
      </c>
      <c r="B133" s="1" t="s">
        <v>197</v>
      </c>
      <c r="C133" s="1" t="s">
        <v>6</v>
      </c>
      <c r="D133" s="1" t="s">
        <v>11</v>
      </c>
    </row>
    <row r="134" ht="14.25" customHeight="1">
      <c r="A134" s="1" t="s">
        <v>289</v>
      </c>
      <c r="B134" s="1" t="s">
        <v>211</v>
      </c>
      <c r="C134" s="1" t="s">
        <v>7</v>
      </c>
      <c r="D134" s="1" t="s">
        <v>19</v>
      </c>
    </row>
    <row r="135" ht="14.25" customHeight="1">
      <c r="A135" s="1" t="s">
        <v>289</v>
      </c>
      <c r="B135" s="1" t="s">
        <v>211</v>
      </c>
      <c r="C135" s="1" t="s">
        <v>5</v>
      </c>
      <c r="D135" s="1" t="s">
        <v>290</v>
      </c>
    </row>
    <row r="136" ht="14.25" customHeight="1">
      <c r="A136" s="1" t="s">
        <v>289</v>
      </c>
      <c r="B136" s="1" t="s">
        <v>211</v>
      </c>
      <c r="C136" s="1" t="s">
        <v>6</v>
      </c>
      <c r="D136" s="1" t="s">
        <v>21</v>
      </c>
    </row>
    <row r="137" ht="14.25" customHeight="1">
      <c r="A137" s="1" t="s">
        <v>291</v>
      </c>
      <c r="B137" s="1" t="s">
        <v>292</v>
      </c>
      <c r="C137" s="1" t="s">
        <v>7</v>
      </c>
      <c r="D137" s="1" t="s">
        <v>25</v>
      </c>
    </row>
    <row r="138" ht="14.25" customHeight="1">
      <c r="A138" s="1" t="s">
        <v>291</v>
      </c>
      <c r="B138" s="1" t="s">
        <v>292</v>
      </c>
      <c r="C138" s="1" t="s">
        <v>5</v>
      </c>
      <c r="D138" s="1" t="s">
        <v>293</v>
      </c>
    </row>
    <row r="139" ht="14.25" customHeight="1">
      <c r="A139" s="1" t="s">
        <v>291</v>
      </c>
      <c r="B139" s="1" t="s">
        <v>292</v>
      </c>
      <c r="C139" s="1" t="s">
        <v>6</v>
      </c>
      <c r="D139" s="1" t="s">
        <v>21</v>
      </c>
    </row>
    <row r="140" ht="14.25" customHeight="1">
      <c r="A140" s="1" t="s">
        <v>294</v>
      </c>
      <c r="B140" s="1" t="s">
        <v>182</v>
      </c>
      <c r="C140" s="1" t="s">
        <v>7</v>
      </c>
      <c r="D140" s="1" t="s">
        <v>13</v>
      </c>
    </row>
    <row r="141" ht="14.25" customHeight="1">
      <c r="A141" s="1" t="s">
        <v>294</v>
      </c>
      <c r="B141" s="1" t="s">
        <v>182</v>
      </c>
      <c r="C141" s="1" t="s">
        <v>5</v>
      </c>
      <c r="D141" s="1" t="s">
        <v>295</v>
      </c>
    </row>
    <row r="142" ht="14.25" customHeight="1">
      <c r="A142" s="1" t="s">
        <v>294</v>
      </c>
      <c r="B142" s="1" t="s">
        <v>182</v>
      </c>
      <c r="C142" s="1" t="s">
        <v>6</v>
      </c>
      <c r="D142" s="1" t="s">
        <v>21</v>
      </c>
    </row>
    <row r="143" ht="14.25" customHeight="1">
      <c r="A143" s="1" t="s">
        <v>296</v>
      </c>
      <c r="B143" s="1" t="s">
        <v>191</v>
      </c>
      <c r="C143" s="1" t="s">
        <v>7</v>
      </c>
      <c r="D143" s="1" t="s">
        <v>19</v>
      </c>
    </row>
    <row r="144" ht="14.25" customHeight="1">
      <c r="A144" s="1" t="s">
        <v>296</v>
      </c>
      <c r="B144" s="1" t="s">
        <v>191</v>
      </c>
      <c r="C144" s="1" t="s">
        <v>5</v>
      </c>
      <c r="D144" s="1" t="s">
        <v>297</v>
      </c>
    </row>
    <row r="145" ht="14.25" customHeight="1">
      <c r="A145" s="1" t="s">
        <v>296</v>
      </c>
      <c r="B145" s="1" t="s">
        <v>191</v>
      </c>
      <c r="C145" s="1" t="s">
        <v>6</v>
      </c>
      <c r="D145" s="1" t="s">
        <v>21</v>
      </c>
    </row>
    <row r="146" ht="14.25" customHeight="1">
      <c r="A146" s="1" t="s">
        <v>298</v>
      </c>
      <c r="B146" s="1" t="s">
        <v>197</v>
      </c>
      <c r="C146" s="1" t="s">
        <v>7</v>
      </c>
      <c r="D146" s="1" t="s">
        <v>9</v>
      </c>
    </row>
    <row r="147" ht="14.25" customHeight="1">
      <c r="A147" s="1" t="s">
        <v>298</v>
      </c>
      <c r="B147" s="1" t="s">
        <v>197</v>
      </c>
      <c r="C147" s="1" t="s">
        <v>5</v>
      </c>
      <c r="D147" s="1" t="s">
        <v>299</v>
      </c>
    </row>
    <row r="148" ht="14.25" customHeight="1">
      <c r="A148" s="1" t="s">
        <v>298</v>
      </c>
      <c r="B148" s="1" t="s">
        <v>197</v>
      </c>
      <c r="C148" s="1" t="s">
        <v>6</v>
      </c>
      <c r="D148" s="1" t="s">
        <v>11</v>
      </c>
    </row>
    <row r="149" ht="14.25" customHeight="1">
      <c r="A149" s="1" t="s">
        <v>300</v>
      </c>
      <c r="B149" s="1" t="s">
        <v>239</v>
      </c>
      <c r="C149" s="1" t="s">
        <v>7</v>
      </c>
      <c r="D149" s="1" t="s">
        <v>25</v>
      </c>
    </row>
    <row r="150" ht="14.25" customHeight="1">
      <c r="A150" s="1" t="s">
        <v>300</v>
      </c>
      <c r="B150" s="1" t="s">
        <v>239</v>
      </c>
      <c r="C150" s="1" t="s">
        <v>5</v>
      </c>
      <c r="D150" s="1" t="s">
        <v>301</v>
      </c>
    </row>
    <row r="151" ht="14.25" customHeight="1">
      <c r="A151" s="1" t="s">
        <v>300</v>
      </c>
      <c r="B151" s="1" t="s">
        <v>239</v>
      </c>
      <c r="C151" s="1" t="s">
        <v>6</v>
      </c>
      <c r="D151" s="1" t="s">
        <v>11</v>
      </c>
    </row>
    <row r="152" ht="14.25" customHeight="1">
      <c r="A152" s="1" t="s">
        <v>302</v>
      </c>
      <c r="B152" s="1" t="s">
        <v>236</v>
      </c>
      <c r="C152" s="1" t="s">
        <v>7</v>
      </c>
      <c r="D152" s="1" t="s">
        <v>25</v>
      </c>
    </row>
    <row r="153" ht="14.25" customHeight="1">
      <c r="A153" s="1" t="s">
        <v>302</v>
      </c>
      <c r="B153" s="1" t="s">
        <v>236</v>
      </c>
      <c r="C153" s="1" t="s">
        <v>5</v>
      </c>
      <c r="D153" s="1" t="s">
        <v>303</v>
      </c>
    </row>
    <row r="154" ht="14.25" customHeight="1">
      <c r="A154" s="1" t="s">
        <v>302</v>
      </c>
      <c r="B154" s="1" t="s">
        <v>236</v>
      </c>
      <c r="C154" s="1" t="s">
        <v>6</v>
      </c>
      <c r="D154" s="1" t="s">
        <v>21</v>
      </c>
    </row>
    <row r="155" ht="14.25" customHeight="1">
      <c r="A155" s="1" t="s">
        <v>304</v>
      </c>
      <c r="B155" s="1" t="s">
        <v>236</v>
      </c>
      <c r="C155" s="1" t="s">
        <v>7</v>
      </c>
      <c r="D155" s="1" t="s">
        <v>25</v>
      </c>
    </row>
    <row r="156" ht="14.25" customHeight="1">
      <c r="A156" s="1" t="s">
        <v>304</v>
      </c>
      <c r="B156" s="1" t="s">
        <v>236</v>
      </c>
      <c r="C156" s="1" t="s">
        <v>5</v>
      </c>
      <c r="D156" s="1" t="s">
        <v>305</v>
      </c>
    </row>
    <row r="157" ht="14.25" customHeight="1">
      <c r="A157" s="1" t="s">
        <v>304</v>
      </c>
      <c r="B157" s="1" t="s">
        <v>236</v>
      </c>
      <c r="C157" s="1" t="s">
        <v>6</v>
      </c>
      <c r="D157" s="1" t="s">
        <v>15</v>
      </c>
    </row>
    <row r="158" ht="14.25" customHeight="1">
      <c r="A158" s="1" t="s">
        <v>306</v>
      </c>
      <c r="B158" s="1" t="s">
        <v>307</v>
      </c>
      <c r="C158" s="1" t="s">
        <v>7</v>
      </c>
      <c r="D158" s="1" t="s">
        <v>9</v>
      </c>
    </row>
    <row r="159" ht="14.25" customHeight="1">
      <c r="A159" s="1" t="s">
        <v>306</v>
      </c>
      <c r="B159" s="1" t="s">
        <v>307</v>
      </c>
      <c r="C159" s="1" t="s">
        <v>5</v>
      </c>
      <c r="D159" s="1" t="s">
        <v>308</v>
      </c>
    </row>
    <row r="160" ht="14.25" customHeight="1">
      <c r="A160" s="1" t="s">
        <v>306</v>
      </c>
      <c r="B160" s="1" t="s">
        <v>307</v>
      </c>
      <c r="C160" s="1" t="s">
        <v>6</v>
      </c>
      <c r="D160" s="1" t="s">
        <v>15</v>
      </c>
    </row>
    <row r="161" ht="14.25" customHeight="1">
      <c r="A161" s="1" t="s">
        <v>309</v>
      </c>
      <c r="B161" s="1" t="s">
        <v>310</v>
      </c>
      <c r="C161" s="1" t="s">
        <v>7</v>
      </c>
      <c r="D161" s="1" t="s">
        <v>19</v>
      </c>
    </row>
    <row r="162" ht="14.25" customHeight="1">
      <c r="A162" s="1" t="s">
        <v>309</v>
      </c>
      <c r="B162" s="1" t="s">
        <v>310</v>
      </c>
      <c r="C162" s="1" t="s">
        <v>5</v>
      </c>
      <c r="D162" s="1" t="s">
        <v>311</v>
      </c>
    </row>
    <row r="163" ht="14.25" customHeight="1">
      <c r="A163" s="1" t="s">
        <v>309</v>
      </c>
      <c r="B163" s="1" t="s">
        <v>310</v>
      </c>
      <c r="C163" s="1" t="s">
        <v>6</v>
      </c>
      <c r="D163" s="1" t="s">
        <v>21</v>
      </c>
    </row>
    <row r="164" ht="14.25" customHeight="1">
      <c r="A164" s="1" t="s">
        <v>312</v>
      </c>
      <c r="B164" s="1" t="s">
        <v>208</v>
      </c>
      <c r="C164" s="1" t="s">
        <v>7</v>
      </c>
      <c r="D164" s="1" t="s">
        <v>19</v>
      </c>
    </row>
    <row r="165" ht="14.25" customHeight="1">
      <c r="A165" s="1" t="s">
        <v>312</v>
      </c>
      <c r="B165" s="1" t="s">
        <v>208</v>
      </c>
      <c r="C165" s="1" t="s">
        <v>5</v>
      </c>
      <c r="D165" s="1" t="s">
        <v>313</v>
      </c>
    </row>
    <row r="166" ht="14.25" customHeight="1">
      <c r="A166" s="1" t="s">
        <v>312</v>
      </c>
      <c r="B166" s="1" t="s">
        <v>208</v>
      </c>
      <c r="C166" s="1" t="s">
        <v>6</v>
      </c>
      <c r="D166" s="1" t="s">
        <v>15</v>
      </c>
    </row>
    <row r="167" ht="14.25" customHeight="1">
      <c r="A167" s="1" t="s">
        <v>314</v>
      </c>
      <c r="B167" s="1" t="s">
        <v>233</v>
      </c>
      <c r="C167" s="1" t="s">
        <v>7</v>
      </c>
      <c r="D167" s="1" t="s">
        <v>19</v>
      </c>
    </row>
    <row r="168" ht="14.25" customHeight="1">
      <c r="A168" s="1" t="s">
        <v>314</v>
      </c>
      <c r="B168" s="1" t="s">
        <v>233</v>
      </c>
      <c r="C168" s="1" t="s">
        <v>5</v>
      </c>
      <c r="D168" s="1" t="s">
        <v>315</v>
      </c>
    </row>
    <row r="169" ht="14.25" customHeight="1">
      <c r="A169" s="1" t="s">
        <v>314</v>
      </c>
      <c r="B169" s="1" t="s">
        <v>233</v>
      </c>
      <c r="C169" s="1" t="s">
        <v>6</v>
      </c>
      <c r="D169" s="1" t="s">
        <v>15</v>
      </c>
    </row>
    <row r="170" ht="14.25" customHeight="1">
      <c r="A170" s="1" t="s">
        <v>316</v>
      </c>
      <c r="B170" s="1" t="s">
        <v>317</v>
      </c>
      <c r="C170" s="1" t="s">
        <v>7</v>
      </c>
      <c r="D170" s="1" t="s">
        <v>25</v>
      </c>
    </row>
    <row r="171" ht="14.25" customHeight="1">
      <c r="A171" s="1" t="s">
        <v>316</v>
      </c>
      <c r="B171" s="1" t="s">
        <v>317</v>
      </c>
      <c r="C171" s="1" t="s">
        <v>5</v>
      </c>
      <c r="D171" s="1" t="s">
        <v>318</v>
      </c>
    </row>
    <row r="172" ht="14.25" customHeight="1">
      <c r="A172" s="1" t="s">
        <v>316</v>
      </c>
      <c r="B172" s="1" t="s">
        <v>317</v>
      </c>
      <c r="C172" s="1" t="s">
        <v>6</v>
      </c>
      <c r="D172" s="1" t="s">
        <v>15</v>
      </c>
    </row>
    <row r="173" ht="14.25" customHeight="1">
      <c r="A173" s="1" t="s">
        <v>319</v>
      </c>
      <c r="B173" s="1" t="s">
        <v>249</v>
      </c>
      <c r="C173" s="1" t="s">
        <v>7</v>
      </c>
      <c r="D173" s="1" t="s">
        <v>13</v>
      </c>
    </row>
    <row r="174" ht="14.25" customHeight="1">
      <c r="A174" s="1" t="s">
        <v>319</v>
      </c>
      <c r="B174" s="1" t="s">
        <v>249</v>
      </c>
      <c r="C174" s="1" t="s">
        <v>5</v>
      </c>
      <c r="D174" s="1" t="s">
        <v>320</v>
      </c>
    </row>
    <row r="175" ht="14.25" customHeight="1">
      <c r="A175" s="1" t="s">
        <v>319</v>
      </c>
      <c r="B175" s="1" t="s">
        <v>249</v>
      </c>
      <c r="C175" s="1" t="s">
        <v>6</v>
      </c>
      <c r="D175" s="1" t="s">
        <v>21</v>
      </c>
    </row>
    <row r="176" ht="14.25" customHeight="1">
      <c r="A176" s="1" t="s">
        <v>321</v>
      </c>
      <c r="B176" s="1" t="s">
        <v>292</v>
      </c>
      <c r="C176" s="1" t="s">
        <v>7</v>
      </c>
      <c r="D176" s="1" t="s">
        <v>9</v>
      </c>
    </row>
    <row r="177" ht="14.25" customHeight="1">
      <c r="A177" s="1" t="s">
        <v>321</v>
      </c>
      <c r="B177" s="1" t="s">
        <v>292</v>
      </c>
      <c r="C177" s="1" t="s">
        <v>5</v>
      </c>
      <c r="D177" s="1" t="s">
        <v>322</v>
      </c>
    </row>
    <row r="178" ht="14.25" customHeight="1">
      <c r="A178" s="1" t="s">
        <v>321</v>
      </c>
      <c r="B178" s="1" t="s">
        <v>292</v>
      </c>
      <c r="C178" s="1" t="s">
        <v>6</v>
      </c>
      <c r="D178" s="1" t="s">
        <v>15</v>
      </c>
    </row>
    <row r="179" ht="14.25" customHeight="1">
      <c r="A179" s="1" t="s">
        <v>323</v>
      </c>
      <c r="B179" s="1" t="s">
        <v>324</v>
      </c>
      <c r="C179" s="1" t="s">
        <v>7</v>
      </c>
      <c r="D179" s="1" t="s">
        <v>19</v>
      </c>
    </row>
    <row r="180" ht="14.25" customHeight="1">
      <c r="A180" s="1" t="s">
        <v>323</v>
      </c>
      <c r="B180" s="1" t="s">
        <v>324</v>
      </c>
      <c r="C180" s="1" t="s">
        <v>5</v>
      </c>
      <c r="D180" s="1" t="s">
        <v>325</v>
      </c>
    </row>
    <row r="181" ht="14.25" customHeight="1">
      <c r="A181" s="1" t="s">
        <v>323</v>
      </c>
      <c r="B181" s="1" t="s">
        <v>324</v>
      </c>
      <c r="C181" s="1" t="s">
        <v>6</v>
      </c>
      <c r="D181" s="1" t="s">
        <v>21</v>
      </c>
    </row>
    <row r="182" ht="14.25" customHeight="1">
      <c r="A182" s="1" t="s">
        <v>326</v>
      </c>
      <c r="B182" s="1" t="s">
        <v>273</v>
      </c>
      <c r="C182" s="1" t="s">
        <v>7</v>
      </c>
      <c r="D182" s="1" t="s">
        <v>13</v>
      </c>
    </row>
    <row r="183" ht="14.25" customHeight="1">
      <c r="A183" s="1" t="s">
        <v>326</v>
      </c>
      <c r="B183" s="1" t="s">
        <v>273</v>
      </c>
      <c r="C183" s="1" t="s">
        <v>5</v>
      </c>
      <c r="D183" s="1" t="s">
        <v>327</v>
      </c>
    </row>
    <row r="184" ht="14.25" customHeight="1">
      <c r="A184" s="1" t="s">
        <v>326</v>
      </c>
      <c r="B184" s="1" t="s">
        <v>273</v>
      </c>
      <c r="C184" s="1" t="s">
        <v>6</v>
      </c>
      <c r="D184" s="1" t="s">
        <v>15</v>
      </c>
    </row>
    <row r="185" ht="14.25" customHeight="1">
      <c r="A185" s="1" t="s">
        <v>328</v>
      </c>
      <c r="B185" s="1" t="s">
        <v>317</v>
      </c>
      <c r="C185" s="1" t="s">
        <v>7</v>
      </c>
      <c r="D185" s="1" t="s">
        <v>9</v>
      </c>
    </row>
    <row r="186" ht="14.25" customHeight="1">
      <c r="A186" s="1" t="s">
        <v>328</v>
      </c>
      <c r="B186" s="1" t="s">
        <v>317</v>
      </c>
      <c r="C186" s="1" t="s">
        <v>5</v>
      </c>
      <c r="D186" s="1" t="s">
        <v>329</v>
      </c>
    </row>
    <row r="187" ht="14.25" customHeight="1">
      <c r="A187" s="1" t="s">
        <v>328</v>
      </c>
      <c r="B187" s="1" t="s">
        <v>317</v>
      </c>
      <c r="C187" s="1" t="s">
        <v>6</v>
      </c>
      <c r="D187" s="1" t="s">
        <v>11</v>
      </c>
    </row>
    <row r="188" ht="14.25" customHeight="1">
      <c r="A188" s="1" t="s">
        <v>330</v>
      </c>
      <c r="B188" s="1" t="s">
        <v>223</v>
      </c>
      <c r="C188" s="1" t="s">
        <v>7</v>
      </c>
      <c r="D188" s="1" t="s">
        <v>13</v>
      </c>
    </row>
    <row r="189" ht="14.25" customHeight="1">
      <c r="A189" s="1" t="s">
        <v>330</v>
      </c>
      <c r="B189" s="1" t="s">
        <v>223</v>
      </c>
      <c r="C189" s="1" t="s">
        <v>5</v>
      </c>
      <c r="D189" s="1" t="s">
        <v>331</v>
      </c>
    </row>
    <row r="190" ht="14.25" customHeight="1">
      <c r="A190" s="1" t="s">
        <v>330</v>
      </c>
      <c r="B190" s="1" t="s">
        <v>223</v>
      </c>
      <c r="C190" s="1" t="s">
        <v>6</v>
      </c>
      <c r="D190" s="1" t="s">
        <v>11</v>
      </c>
    </row>
    <row r="191" ht="14.25" customHeight="1">
      <c r="A191" s="1" t="s">
        <v>332</v>
      </c>
      <c r="B191" s="1" t="s">
        <v>194</v>
      </c>
      <c r="C191" s="1" t="s">
        <v>7</v>
      </c>
      <c r="D191" s="1" t="s">
        <v>9</v>
      </c>
    </row>
    <row r="192" ht="14.25" customHeight="1">
      <c r="A192" s="1" t="s">
        <v>332</v>
      </c>
      <c r="B192" s="1" t="s">
        <v>194</v>
      </c>
      <c r="C192" s="1" t="s">
        <v>5</v>
      </c>
      <c r="D192" s="1" t="s">
        <v>333</v>
      </c>
    </row>
    <row r="193" ht="14.25" customHeight="1">
      <c r="A193" s="1" t="s">
        <v>332</v>
      </c>
      <c r="B193" s="1" t="s">
        <v>194</v>
      </c>
      <c r="C193" s="1" t="s">
        <v>6</v>
      </c>
      <c r="D193" s="1" t="s">
        <v>11</v>
      </c>
    </row>
    <row r="194" ht="14.25" customHeight="1">
      <c r="A194" s="1" t="s">
        <v>334</v>
      </c>
      <c r="B194" s="1" t="s">
        <v>264</v>
      </c>
      <c r="C194" s="1" t="s">
        <v>7</v>
      </c>
      <c r="D194" s="1" t="s">
        <v>13</v>
      </c>
    </row>
    <row r="195" ht="14.25" customHeight="1">
      <c r="A195" s="1" t="s">
        <v>334</v>
      </c>
      <c r="B195" s="1" t="s">
        <v>264</v>
      </c>
      <c r="C195" s="1" t="s">
        <v>5</v>
      </c>
      <c r="D195" s="1" t="s">
        <v>335</v>
      </c>
    </row>
    <row r="196" ht="14.25" customHeight="1">
      <c r="A196" s="1" t="s">
        <v>334</v>
      </c>
      <c r="B196" s="1" t="s">
        <v>264</v>
      </c>
      <c r="C196" s="1" t="s">
        <v>6</v>
      </c>
      <c r="D196" s="1" t="s">
        <v>11</v>
      </c>
    </row>
    <row r="197" ht="14.25" customHeight="1">
      <c r="A197" s="1" t="s">
        <v>336</v>
      </c>
      <c r="B197" s="1" t="s">
        <v>203</v>
      </c>
      <c r="C197" s="1" t="s">
        <v>7</v>
      </c>
      <c r="D197" s="1" t="s">
        <v>13</v>
      </c>
    </row>
    <row r="198" ht="14.25" customHeight="1">
      <c r="A198" s="1" t="s">
        <v>336</v>
      </c>
      <c r="B198" s="1" t="s">
        <v>203</v>
      </c>
      <c r="C198" s="1" t="s">
        <v>5</v>
      </c>
      <c r="D198" s="1" t="s">
        <v>337</v>
      </c>
    </row>
    <row r="199" ht="14.25" customHeight="1">
      <c r="A199" s="1" t="s">
        <v>336</v>
      </c>
      <c r="B199" s="1" t="s">
        <v>203</v>
      </c>
      <c r="C199" s="1" t="s">
        <v>6</v>
      </c>
      <c r="D199" s="1" t="s">
        <v>11</v>
      </c>
    </row>
    <row r="200" ht="14.25" customHeight="1">
      <c r="A200" s="1" t="s">
        <v>338</v>
      </c>
      <c r="B200" s="1" t="s">
        <v>339</v>
      </c>
      <c r="C200" s="1" t="s">
        <v>7</v>
      </c>
      <c r="D200" s="1" t="s">
        <v>19</v>
      </c>
    </row>
    <row r="201" ht="14.25" customHeight="1">
      <c r="A201" s="1" t="s">
        <v>338</v>
      </c>
      <c r="B201" s="1" t="s">
        <v>339</v>
      </c>
      <c r="C201" s="1" t="s">
        <v>5</v>
      </c>
      <c r="D201" s="1" t="s">
        <v>340</v>
      </c>
    </row>
    <row r="202" ht="14.25" customHeight="1">
      <c r="A202" s="1" t="s">
        <v>338</v>
      </c>
      <c r="B202" s="1" t="s">
        <v>339</v>
      </c>
      <c r="C202" s="1" t="s">
        <v>6</v>
      </c>
      <c r="D202" s="1" t="s">
        <v>11</v>
      </c>
    </row>
    <row r="203" ht="14.25" customHeight="1">
      <c r="A203" s="1" t="s">
        <v>341</v>
      </c>
      <c r="B203" s="1" t="s">
        <v>264</v>
      </c>
      <c r="C203" s="1" t="s">
        <v>7</v>
      </c>
      <c r="D203" s="1" t="s">
        <v>9</v>
      </c>
    </row>
    <row r="204" ht="14.25" customHeight="1">
      <c r="A204" s="1" t="s">
        <v>341</v>
      </c>
      <c r="B204" s="1" t="s">
        <v>264</v>
      </c>
      <c r="C204" s="1" t="s">
        <v>5</v>
      </c>
      <c r="D204" s="1" t="s">
        <v>342</v>
      </c>
    </row>
    <row r="205" ht="14.25" customHeight="1">
      <c r="A205" s="1" t="s">
        <v>341</v>
      </c>
      <c r="B205" s="1" t="s">
        <v>264</v>
      </c>
      <c r="C205" s="1" t="s">
        <v>6</v>
      </c>
      <c r="D205" s="1" t="s">
        <v>21</v>
      </c>
    </row>
    <row r="206" ht="14.25" customHeight="1">
      <c r="A206" s="1" t="s">
        <v>343</v>
      </c>
      <c r="B206" s="1" t="s">
        <v>230</v>
      </c>
      <c r="C206" s="1" t="s">
        <v>7</v>
      </c>
      <c r="D206" s="1" t="s">
        <v>9</v>
      </c>
    </row>
    <row r="207" ht="14.25" customHeight="1">
      <c r="A207" s="1" t="s">
        <v>343</v>
      </c>
      <c r="B207" s="1" t="s">
        <v>230</v>
      </c>
      <c r="C207" s="1" t="s">
        <v>5</v>
      </c>
      <c r="D207" s="1" t="s">
        <v>344</v>
      </c>
    </row>
    <row r="208" ht="14.25" customHeight="1">
      <c r="A208" s="1" t="s">
        <v>343</v>
      </c>
      <c r="B208" s="1" t="s">
        <v>230</v>
      </c>
      <c r="C208" s="1" t="s">
        <v>6</v>
      </c>
      <c r="D208" s="1" t="s">
        <v>11</v>
      </c>
    </row>
    <row r="209" ht="14.25" customHeight="1">
      <c r="A209" s="1" t="s">
        <v>345</v>
      </c>
      <c r="B209" s="1" t="s">
        <v>203</v>
      </c>
      <c r="C209" s="1" t="s">
        <v>7</v>
      </c>
      <c r="D209" s="1" t="s">
        <v>19</v>
      </c>
    </row>
    <row r="210" ht="14.25" customHeight="1">
      <c r="A210" s="1" t="s">
        <v>345</v>
      </c>
      <c r="B210" s="1" t="s">
        <v>203</v>
      </c>
      <c r="C210" s="1" t="s">
        <v>5</v>
      </c>
      <c r="D210" s="1" t="s">
        <v>346</v>
      </c>
    </row>
    <row r="211" ht="14.25" customHeight="1">
      <c r="A211" s="1" t="s">
        <v>345</v>
      </c>
      <c r="B211" s="1" t="s">
        <v>203</v>
      </c>
      <c r="C211" s="1" t="s">
        <v>6</v>
      </c>
      <c r="D211" s="1" t="s">
        <v>21</v>
      </c>
    </row>
    <row r="212" ht="14.25" customHeight="1">
      <c r="A212" s="1" t="s">
        <v>347</v>
      </c>
      <c r="B212" s="1" t="s">
        <v>203</v>
      </c>
      <c r="C212" s="1" t="s">
        <v>7</v>
      </c>
      <c r="D212" s="1" t="s">
        <v>13</v>
      </c>
    </row>
    <row r="213" ht="14.25" customHeight="1">
      <c r="A213" s="1" t="s">
        <v>347</v>
      </c>
      <c r="B213" s="1" t="s">
        <v>203</v>
      </c>
      <c r="C213" s="1" t="s">
        <v>5</v>
      </c>
      <c r="D213" s="1" t="s">
        <v>348</v>
      </c>
    </row>
    <row r="214" ht="14.25" customHeight="1">
      <c r="A214" s="1" t="s">
        <v>347</v>
      </c>
      <c r="B214" s="1" t="s">
        <v>203</v>
      </c>
      <c r="C214" s="1" t="s">
        <v>6</v>
      </c>
      <c r="D214" s="1" t="s">
        <v>15</v>
      </c>
    </row>
    <row r="215" ht="14.25" customHeight="1">
      <c r="A215" s="1" t="s">
        <v>349</v>
      </c>
      <c r="B215" s="1" t="s">
        <v>223</v>
      </c>
      <c r="C215" s="1" t="s">
        <v>7</v>
      </c>
      <c r="D215" s="1" t="s">
        <v>9</v>
      </c>
    </row>
    <row r="216" ht="14.25" customHeight="1">
      <c r="A216" s="1" t="s">
        <v>349</v>
      </c>
      <c r="B216" s="1" t="s">
        <v>223</v>
      </c>
      <c r="C216" s="1" t="s">
        <v>5</v>
      </c>
      <c r="D216" s="1" t="s">
        <v>350</v>
      </c>
    </row>
    <row r="217" ht="14.25" customHeight="1">
      <c r="A217" s="1" t="s">
        <v>349</v>
      </c>
      <c r="B217" s="1" t="s">
        <v>223</v>
      </c>
      <c r="C217" s="1" t="s">
        <v>6</v>
      </c>
      <c r="D217" s="1" t="s">
        <v>15</v>
      </c>
    </row>
    <row r="218" ht="14.25" customHeight="1">
      <c r="A218" s="1" t="s">
        <v>351</v>
      </c>
      <c r="B218" s="1" t="s">
        <v>182</v>
      </c>
      <c r="C218" s="1" t="s">
        <v>7</v>
      </c>
      <c r="D218" s="1" t="s">
        <v>19</v>
      </c>
    </row>
    <row r="219" ht="14.25" customHeight="1">
      <c r="A219" s="1" t="s">
        <v>351</v>
      </c>
      <c r="B219" s="1" t="s">
        <v>182</v>
      </c>
      <c r="C219" s="1" t="s">
        <v>5</v>
      </c>
      <c r="D219" s="1" t="s">
        <v>352</v>
      </c>
    </row>
    <row r="220" ht="14.25" customHeight="1">
      <c r="A220" s="1" t="s">
        <v>351</v>
      </c>
      <c r="B220" s="1" t="s">
        <v>182</v>
      </c>
      <c r="C220" s="1" t="s">
        <v>6</v>
      </c>
      <c r="D220" s="1" t="s">
        <v>11</v>
      </c>
    </row>
    <row r="221" ht="14.25" customHeight="1">
      <c r="A221" s="1" t="s">
        <v>353</v>
      </c>
      <c r="B221" s="1" t="s">
        <v>239</v>
      </c>
      <c r="C221" s="1" t="s">
        <v>7</v>
      </c>
      <c r="D221" s="1" t="s">
        <v>19</v>
      </c>
    </row>
    <row r="222" ht="14.25" customHeight="1">
      <c r="A222" s="1" t="s">
        <v>353</v>
      </c>
      <c r="B222" s="1" t="s">
        <v>239</v>
      </c>
      <c r="C222" s="1" t="s">
        <v>5</v>
      </c>
      <c r="D222" s="1" t="s">
        <v>354</v>
      </c>
    </row>
    <row r="223" ht="14.25" customHeight="1">
      <c r="A223" s="1" t="s">
        <v>353</v>
      </c>
      <c r="B223" s="1" t="s">
        <v>239</v>
      </c>
      <c r="C223" s="1" t="s">
        <v>6</v>
      </c>
      <c r="D223" s="1" t="s">
        <v>11</v>
      </c>
    </row>
    <row r="224" ht="14.25" customHeight="1">
      <c r="A224" s="1" t="s">
        <v>355</v>
      </c>
      <c r="B224" s="1" t="s">
        <v>200</v>
      </c>
      <c r="C224" s="1" t="s">
        <v>7</v>
      </c>
      <c r="D224" s="1" t="s">
        <v>19</v>
      </c>
    </row>
    <row r="225" ht="14.25" customHeight="1">
      <c r="A225" s="1" t="s">
        <v>355</v>
      </c>
      <c r="B225" s="1" t="s">
        <v>200</v>
      </c>
      <c r="C225" s="1" t="s">
        <v>5</v>
      </c>
      <c r="D225" s="1" t="s">
        <v>356</v>
      </c>
    </row>
    <row r="226" ht="14.25" customHeight="1">
      <c r="A226" s="1" t="s">
        <v>355</v>
      </c>
      <c r="B226" s="1" t="s">
        <v>200</v>
      </c>
      <c r="C226" s="1" t="s">
        <v>6</v>
      </c>
      <c r="D226" s="1" t="s">
        <v>21</v>
      </c>
    </row>
    <row r="227" ht="14.25" customHeight="1">
      <c r="A227" s="1" t="s">
        <v>357</v>
      </c>
      <c r="B227" s="1" t="s">
        <v>324</v>
      </c>
      <c r="C227" s="1" t="s">
        <v>7</v>
      </c>
      <c r="D227" s="1" t="s">
        <v>9</v>
      </c>
    </row>
    <row r="228" ht="14.25" customHeight="1">
      <c r="A228" s="1" t="s">
        <v>357</v>
      </c>
      <c r="B228" s="1" t="s">
        <v>324</v>
      </c>
      <c r="C228" s="1" t="s">
        <v>5</v>
      </c>
      <c r="D228" s="1" t="s">
        <v>358</v>
      </c>
    </row>
    <row r="229" ht="14.25" customHeight="1">
      <c r="A229" s="1" t="s">
        <v>357</v>
      </c>
      <c r="B229" s="1" t="s">
        <v>324</v>
      </c>
      <c r="C229" s="1" t="s">
        <v>6</v>
      </c>
      <c r="D229" s="1" t="s">
        <v>21</v>
      </c>
    </row>
    <row r="230" ht="14.25" customHeight="1">
      <c r="A230" s="1" t="s">
        <v>359</v>
      </c>
      <c r="B230" s="1" t="s">
        <v>324</v>
      </c>
      <c r="C230" s="1" t="s">
        <v>7</v>
      </c>
      <c r="D230" s="1" t="s">
        <v>13</v>
      </c>
    </row>
    <row r="231" ht="14.25" customHeight="1">
      <c r="A231" s="1" t="s">
        <v>359</v>
      </c>
      <c r="B231" s="1" t="s">
        <v>324</v>
      </c>
      <c r="C231" s="1" t="s">
        <v>5</v>
      </c>
      <c r="D231" s="1" t="s">
        <v>360</v>
      </c>
    </row>
    <row r="232" ht="14.25" customHeight="1">
      <c r="A232" s="1" t="s">
        <v>359</v>
      </c>
      <c r="B232" s="1" t="s">
        <v>324</v>
      </c>
      <c r="C232" s="1" t="s">
        <v>6</v>
      </c>
      <c r="D232" s="1" t="s">
        <v>15</v>
      </c>
    </row>
    <row r="233" ht="14.25" customHeight="1">
      <c r="A233" s="1" t="s">
        <v>361</v>
      </c>
      <c r="B233" s="1" t="s">
        <v>249</v>
      </c>
      <c r="C233" s="1" t="s">
        <v>7</v>
      </c>
      <c r="D233" s="1" t="s">
        <v>9</v>
      </c>
    </row>
    <row r="234" ht="14.25" customHeight="1">
      <c r="A234" s="1" t="s">
        <v>361</v>
      </c>
      <c r="B234" s="1" t="s">
        <v>249</v>
      </c>
      <c r="C234" s="1" t="s">
        <v>5</v>
      </c>
      <c r="D234" s="1" t="s">
        <v>362</v>
      </c>
    </row>
    <row r="235" ht="14.25" customHeight="1">
      <c r="A235" s="1" t="s">
        <v>361</v>
      </c>
      <c r="B235" s="1" t="s">
        <v>249</v>
      </c>
      <c r="C235" s="1" t="s">
        <v>6</v>
      </c>
      <c r="D235" s="1" t="s">
        <v>15</v>
      </c>
    </row>
    <row r="236" ht="14.25" customHeight="1">
      <c r="A236" s="1" t="s">
        <v>363</v>
      </c>
      <c r="B236" s="1" t="s">
        <v>317</v>
      </c>
      <c r="C236" s="1" t="s">
        <v>7</v>
      </c>
      <c r="D236" s="1" t="s">
        <v>25</v>
      </c>
    </row>
    <row r="237" ht="14.25" customHeight="1">
      <c r="A237" s="1" t="s">
        <v>363</v>
      </c>
      <c r="B237" s="1" t="s">
        <v>317</v>
      </c>
      <c r="C237" s="1" t="s">
        <v>5</v>
      </c>
      <c r="D237" s="1" t="s">
        <v>364</v>
      </c>
    </row>
    <row r="238" ht="14.25" customHeight="1">
      <c r="A238" s="1" t="s">
        <v>363</v>
      </c>
      <c r="B238" s="1" t="s">
        <v>317</v>
      </c>
      <c r="C238" s="1" t="s">
        <v>6</v>
      </c>
      <c r="D238" s="1" t="s">
        <v>21</v>
      </c>
    </row>
    <row r="239" ht="14.25" customHeight="1">
      <c r="A239" s="1" t="s">
        <v>365</v>
      </c>
      <c r="B239" s="1" t="s">
        <v>236</v>
      </c>
      <c r="C239" s="1" t="s">
        <v>7</v>
      </c>
      <c r="D239" s="1" t="s">
        <v>19</v>
      </c>
    </row>
    <row r="240" ht="14.25" customHeight="1">
      <c r="A240" s="1" t="s">
        <v>365</v>
      </c>
      <c r="B240" s="1" t="s">
        <v>236</v>
      </c>
      <c r="C240" s="1" t="s">
        <v>5</v>
      </c>
      <c r="D240" s="1" t="s">
        <v>366</v>
      </c>
    </row>
    <row r="241" ht="14.25" customHeight="1">
      <c r="A241" s="1" t="s">
        <v>365</v>
      </c>
      <c r="B241" s="1" t="s">
        <v>236</v>
      </c>
      <c r="C241" s="1" t="s">
        <v>6</v>
      </c>
      <c r="D241" s="1" t="s">
        <v>21</v>
      </c>
    </row>
    <row r="242" ht="14.25" customHeight="1">
      <c r="A242" s="1" t="s">
        <v>367</v>
      </c>
      <c r="B242" s="1" t="s">
        <v>203</v>
      </c>
      <c r="C242" s="1" t="s">
        <v>7</v>
      </c>
      <c r="D242" s="1" t="s">
        <v>9</v>
      </c>
    </row>
    <row r="243" ht="14.25" customHeight="1">
      <c r="A243" s="1" t="s">
        <v>367</v>
      </c>
      <c r="B243" s="1" t="s">
        <v>203</v>
      </c>
      <c r="C243" s="1" t="s">
        <v>5</v>
      </c>
      <c r="D243" s="1" t="s">
        <v>368</v>
      </c>
    </row>
    <row r="244" ht="14.25" customHeight="1">
      <c r="A244" s="1" t="s">
        <v>367</v>
      </c>
      <c r="B244" s="1" t="s">
        <v>203</v>
      </c>
      <c r="C244" s="1" t="s">
        <v>6</v>
      </c>
      <c r="D244" s="1" t="s">
        <v>21</v>
      </c>
    </row>
    <row r="245" ht="14.25" customHeight="1">
      <c r="A245" s="1" t="s">
        <v>369</v>
      </c>
      <c r="B245" s="1" t="s">
        <v>214</v>
      </c>
      <c r="C245" s="1" t="s">
        <v>7</v>
      </c>
      <c r="D245" s="1" t="s">
        <v>9</v>
      </c>
    </row>
    <row r="246" ht="14.25" customHeight="1">
      <c r="A246" s="1" t="s">
        <v>369</v>
      </c>
      <c r="B246" s="1" t="s">
        <v>214</v>
      </c>
      <c r="C246" s="1" t="s">
        <v>5</v>
      </c>
      <c r="D246" s="1" t="s">
        <v>370</v>
      </c>
    </row>
    <row r="247" ht="14.25" customHeight="1">
      <c r="A247" s="1" t="s">
        <v>369</v>
      </c>
      <c r="B247" s="1" t="s">
        <v>214</v>
      </c>
      <c r="C247" s="1" t="s">
        <v>6</v>
      </c>
      <c r="D247" s="1" t="s">
        <v>15</v>
      </c>
    </row>
    <row r="248" ht="14.25" customHeight="1">
      <c r="A248" s="1" t="s">
        <v>371</v>
      </c>
      <c r="B248" s="1" t="s">
        <v>236</v>
      </c>
      <c r="C248" s="1" t="s">
        <v>7</v>
      </c>
      <c r="D248" s="1" t="s">
        <v>9</v>
      </c>
    </row>
    <row r="249" ht="14.25" customHeight="1">
      <c r="A249" s="1" t="s">
        <v>371</v>
      </c>
      <c r="B249" s="1" t="s">
        <v>236</v>
      </c>
      <c r="C249" s="1" t="s">
        <v>5</v>
      </c>
      <c r="D249" s="1" t="s">
        <v>372</v>
      </c>
    </row>
    <row r="250" ht="14.25" customHeight="1">
      <c r="A250" s="1" t="s">
        <v>371</v>
      </c>
      <c r="B250" s="1" t="s">
        <v>236</v>
      </c>
      <c r="C250" s="1" t="s">
        <v>6</v>
      </c>
      <c r="D250" s="1" t="s">
        <v>21</v>
      </c>
    </row>
    <row r="251" ht="14.25" customHeight="1">
      <c r="A251" s="1" t="s">
        <v>373</v>
      </c>
      <c r="B251" s="1" t="s">
        <v>233</v>
      </c>
      <c r="C251" s="1" t="s">
        <v>7</v>
      </c>
      <c r="D251" s="1" t="s">
        <v>9</v>
      </c>
    </row>
    <row r="252" ht="14.25" customHeight="1">
      <c r="A252" s="1" t="s">
        <v>373</v>
      </c>
      <c r="B252" s="1" t="s">
        <v>233</v>
      </c>
      <c r="C252" s="1" t="s">
        <v>5</v>
      </c>
      <c r="D252" s="1" t="s">
        <v>374</v>
      </c>
    </row>
    <row r="253" ht="14.25" customHeight="1">
      <c r="A253" s="1" t="s">
        <v>373</v>
      </c>
      <c r="B253" s="1" t="s">
        <v>233</v>
      </c>
      <c r="C253" s="1" t="s">
        <v>6</v>
      </c>
      <c r="D253" s="1" t="s">
        <v>11</v>
      </c>
    </row>
    <row r="254" ht="14.25" customHeight="1">
      <c r="A254" s="1" t="s">
        <v>375</v>
      </c>
      <c r="B254" s="1" t="s">
        <v>339</v>
      </c>
      <c r="C254" s="1" t="s">
        <v>7</v>
      </c>
      <c r="D254" s="1" t="s">
        <v>19</v>
      </c>
    </row>
    <row r="255" ht="14.25" customHeight="1">
      <c r="A255" s="1" t="s">
        <v>375</v>
      </c>
      <c r="B255" s="1" t="s">
        <v>339</v>
      </c>
      <c r="C255" s="1" t="s">
        <v>5</v>
      </c>
      <c r="D255" s="1" t="s">
        <v>376</v>
      </c>
    </row>
    <row r="256" ht="14.25" customHeight="1">
      <c r="A256" s="1" t="s">
        <v>375</v>
      </c>
      <c r="B256" s="1" t="s">
        <v>339</v>
      </c>
      <c r="C256" s="1" t="s">
        <v>6</v>
      </c>
      <c r="D256" s="1" t="s">
        <v>15</v>
      </c>
    </row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0.71"/>
    <col customWidth="1" min="3" max="3" width="12.57"/>
    <col customWidth="1" min="4" max="4" width="11.29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2" t="s">
        <v>4</v>
      </c>
      <c r="H1" s="2" t="s">
        <v>5</v>
      </c>
      <c r="I1" s="2" t="s">
        <v>6</v>
      </c>
      <c r="J1" s="2" t="s">
        <v>7</v>
      </c>
    </row>
    <row r="2" ht="14.25" customHeight="1">
      <c r="A2" s="1" t="s">
        <v>377</v>
      </c>
      <c r="B2" s="1" t="s">
        <v>378</v>
      </c>
      <c r="C2" s="1" t="s">
        <v>7</v>
      </c>
      <c r="D2" s="1" t="s">
        <v>19</v>
      </c>
      <c r="F2" s="1" t="str">
        <f>IFERROR(__xludf.DUMMYFUNCTION("UNIQUE(A2:A1000)"),"373223")</f>
        <v>373223</v>
      </c>
      <c r="G2" s="1" t="str">
        <f t="shared" ref="G2:G78" si="1">CONCATENATE("03","/",VLOOKUP(F2, A2:D1000, 2, false),"/",2023)</f>
        <v>03/29/2023</v>
      </c>
      <c r="H2" s="1" t="str">
        <f t="shared" ref="H2:H78" si="2">INDEX(D:D, MATCH(1, ($A:$A = $F2) * ($C:$C = $H$1), 0))</f>
        <v>11/12/1985</v>
      </c>
      <c r="I2" s="1" t="str">
        <f t="shared" ref="I2:I78" si="3">INDEX(D:D, MATCH(1, ($A:$A = $F2) * ($C:$C = $I$1), 0))</f>
        <v>Basic</v>
      </c>
      <c r="J2" s="1" t="str">
        <f t="shared" ref="J2:J78" si="4">INDEX(D:D, MATCH(1, ($A:$A = $F2) * ($C:$C = $J$1), 0))</f>
        <v>Asian</v>
      </c>
    </row>
    <row r="3" ht="14.25" customHeight="1">
      <c r="A3" s="1" t="s">
        <v>377</v>
      </c>
      <c r="B3" s="1" t="s">
        <v>378</v>
      </c>
      <c r="C3" s="1" t="s">
        <v>5</v>
      </c>
      <c r="D3" s="1" t="s">
        <v>379</v>
      </c>
      <c r="F3" s="1" t="str">
        <f>IFERROR(__xludf.DUMMYFUNCTION("""COMPUTED_VALUE"""),"805034")</f>
        <v>805034</v>
      </c>
      <c r="G3" s="1" t="str">
        <f t="shared" si="1"/>
        <v>03/19/2023</v>
      </c>
      <c r="H3" s="1" t="str">
        <f t="shared" si="2"/>
        <v>1/10/1968</v>
      </c>
      <c r="I3" s="1" t="str">
        <f t="shared" si="3"/>
        <v>Platinum</v>
      </c>
      <c r="J3" s="1" t="str">
        <f t="shared" si="4"/>
        <v>Asian</v>
      </c>
    </row>
    <row r="4" ht="14.25" customHeight="1">
      <c r="A4" s="1" t="s">
        <v>377</v>
      </c>
      <c r="B4" s="1" t="s">
        <v>378</v>
      </c>
      <c r="C4" s="1" t="s">
        <v>6</v>
      </c>
      <c r="D4" s="1" t="s">
        <v>21</v>
      </c>
      <c r="F4" s="1" t="str">
        <f>IFERROR(__xludf.DUMMYFUNCTION("""COMPUTED_VALUE"""),"842913")</f>
        <v>842913</v>
      </c>
      <c r="G4" s="1" t="str">
        <f t="shared" si="1"/>
        <v>03/29/2023</v>
      </c>
      <c r="H4" s="1" t="str">
        <f t="shared" si="2"/>
        <v>4/22/1945</v>
      </c>
      <c r="I4" s="1" t="str">
        <f t="shared" si="3"/>
        <v>Gold</v>
      </c>
      <c r="J4" s="1" t="str">
        <f t="shared" si="4"/>
        <v>Other</v>
      </c>
    </row>
    <row r="5" ht="14.25" customHeight="1">
      <c r="A5" s="1" t="s">
        <v>380</v>
      </c>
      <c r="B5" s="1" t="s">
        <v>381</v>
      </c>
      <c r="C5" s="1" t="s">
        <v>7</v>
      </c>
      <c r="D5" s="1" t="s">
        <v>19</v>
      </c>
      <c r="F5" s="1" t="str">
        <f>IFERROR(__xludf.DUMMYFUNCTION("""COMPUTED_VALUE"""),"755287")</f>
        <v>755287</v>
      </c>
      <c r="G5" s="1" t="str">
        <f t="shared" si="1"/>
        <v>03/24/2023</v>
      </c>
      <c r="H5" s="1" t="str">
        <f t="shared" si="2"/>
        <v>8/27/1997</v>
      </c>
      <c r="I5" s="1" t="str">
        <f t="shared" si="3"/>
        <v>Platinum</v>
      </c>
      <c r="J5" s="1" t="str">
        <f t="shared" si="4"/>
        <v>Black</v>
      </c>
    </row>
    <row r="6" ht="14.25" customHeight="1">
      <c r="A6" s="1" t="s">
        <v>380</v>
      </c>
      <c r="B6" s="1" t="s">
        <v>381</v>
      </c>
      <c r="C6" s="1" t="s">
        <v>5</v>
      </c>
      <c r="D6" s="1" t="s">
        <v>382</v>
      </c>
      <c r="F6" s="1" t="str">
        <f>IFERROR(__xludf.DUMMYFUNCTION("""COMPUTED_VALUE"""),"700950")</f>
        <v>700950</v>
      </c>
      <c r="G6" s="1" t="str">
        <f t="shared" si="1"/>
        <v>03/10/2023</v>
      </c>
      <c r="H6" s="1" t="str">
        <f t="shared" si="2"/>
        <v>6/18/1940</v>
      </c>
      <c r="I6" s="1" t="str">
        <f t="shared" si="3"/>
        <v>Basic</v>
      </c>
      <c r="J6" s="1" t="str">
        <f t="shared" si="4"/>
        <v>Black</v>
      </c>
    </row>
    <row r="7" ht="14.25" customHeight="1">
      <c r="A7" s="1" t="s">
        <v>380</v>
      </c>
      <c r="B7" s="1" t="s">
        <v>381</v>
      </c>
      <c r="C7" s="1" t="s">
        <v>6</v>
      </c>
      <c r="D7" s="1" t="s">
        <v>11</v>
      </c>
      <c r="F7" s="1" t="str">
        <f>IFERROR(__xludf.DUMMYFUNCTION("""COMPUTED_VALUE"""),"115702")</f>
        <v>115702</v>
      </c>
      <c r="G7" s="1" t="str">
        <f t="shared" si="1"/>
        <v>03/14/2023</v>
      </c>
      <c r="H7" s="1" t="str">
        <f t="shared" si="2"/>
        <v>2/17/1977</v>
      </c>
      <c r="I7" s="1" t="str">
        <f t="shared" si="3"/>
        <v>Platinum</v>
      </c>
      <c r="J7" s="1" t="str">
        <f t="shared" si="4"/>
        <v>Black</v>
      </c>
    </row>
    <row r="8" ht="14.25" customHeight="1">
      <c r="A8" s="1" t="s">
        <v>383</v>
      </c>
      <c r="B8" s="1" t="s">
        <v>378</v>
      </c>
      <c r="C8" s="1" t="s">
        <v>7</v>
      </c>
      <c r="D8" s="1" t="s">
        <v>9</v>
      </c>
      <c r="F8" s="1" t="str">
        <f>IFERROR(__xludf.DUMMYFUNCTION("""COMPUTED_VALUE"""),"664810")</f>
        <v>664810</v>
      </c>
      <c r="G8" s="1" t="str">
        <f t="shared" si="1"/>
        <v>03/10/2023</v>
      </c>
      <c r="H8" s="1" t="str">
        <f t="shared" si="2"/>
        <v>7/2/1947</v>
      </c>
      <c r="I8" s="1" t="str">
        <f t="shared" si="3"/>
        <v>Gold</v>
      </c>
      <c r="J8" s="1" t="str">
        <f t="shared" si="4"/>
        <v>Black</v>
      </c>
    </row>
    <row r="9" ht="14.25" customHeight="1">
      <c r="A9" s="1" t="s">
        <v>383</v>
      </c>
      <c r="B9" s="1" t="s">
        <v>378</v>
      </c>
      <c r="C9" s="1" t="s">
        <v>5</v>
      </c>
      <c r="D9" s="1" t="s">
        <v>384</v>
      </c>
      <c r="F9" s="1" t="str">
        <f>IFERROR(__xludf.DUMMYFUNCTION("""COMPUTED_VALUE"""),"698434")</f>
        <v>698434</v>
      </c>
      <c r="G9" s="1" t="str">
        <f t="shared" si="1"/>
        <v>03/11/2023</v>
      </c>
      <c r="H9" s="1" t="str">
        <f t="shared" si="2"/>
        <v>12/23/1946</v>
      </c>
      <c r="I9" s="1" t="str">
        <f t="shared" si="3"/>
        <v>Basic</v>
      </c>
      <c r="J9" s="1" t="str">
        <f t="shared" si="4"/>
        <v>Black</v>
      </c>
    </row>
    <row r="10" ht="14.25" customHeight="1">
      <c r="A10" s="1" t="s">
        <v>383</v>
      </c>
      <c r="B10" s="1" t="s">
        <v>378</v>
      </c>
      <c r="C10" s="1" t="s">
        <v>6</v>
      </c>
      <c r="D10" s="1" t="s">
        <v>15</v>
      </c>
      <c r="F10" s="1" t="str">
        <f>IFERROR(__xludf.DUMMYFUNCTION("""COMPUTED_VALUE"""),"287144")</f>
        <v>287144</v>
      </c>
      <c r="G10" s="1" t="str">
        <f t="shared" si="1"/>
        <v>03/23/2023</v>
      </c>
      <c r="H10" s="1" t="str">
        <f t="shared" si="2"/>
        <v>9/25/1976</v>
      </c>
      <c r="I10" s="1" t="str">
        <f t="shared" si="3"/>
        <v>Platinum</v>
      </c>
      <c r="J10" s="1" t="str">
        <f t="shared" si="4"/>
        <v>White</v>
      </c>
    </row>
    <row r="11" ht="14.25" customHeight="1">
      <c r="A11" s="1" t="s">
        <v>385</v>
      </c>
      <c r="B11" s="1" t="s">
        <v>239</v>
      </c>
      <c r="C11" s="1" t="s">
        <v>7</v>
      </c>
      <c r="D11" s="1" t="s">
        <v>25</v>
      </c>
      <c r="F11" s="1" t="str">
        <f>IFERROR(__xludf.DUMMYFUNCTION("""COMPUTED_VALUE"""),"980787")</f>
        <v>980787</v>
      </c>
      <c r="G11" s="1" t="str">
        <f t="shared" si="1"/>
        <v>03/13/2023</v>
      </c>
      <c r="H11" s="1" t="str">
        <f t="shared" si="2"/>
        <v>2/18/1975</v>
      </c>
      <c r="I11" s="1" t="str">
        <f t="shared" si="3"/>
        <v>Platinum</v>
      </c>
      <c r="J11" s="1" t="str">
        <f t="shared" si="4"/>
        <v>Black</v>
      </c>
    </row>
    <row r="12" ht="14.25" customHeight="1">
      <c r="A12" s="1" t="s">
        <v>385</v>
      </c>
      <c r="B12" s="1" t="s">
        <v>239</v>
      </c>
      <c r="C12" s="1" t="s">
        <v>5</v>
      </c>
      <c r="D12" s="1" t="s">
        <v>386</v>
      </c>
      <c r="F12" s="1" t="str">
        <f>IFERROR(__xludf.DUMMYFUNCTION("""COMPUTED_VALUE"""),"487923")</f>
        <v>487923</v>
      </c>
      <c r="G12" s="1" t="str">
        <f t="shared" si="1"/>
        <v>03/22/2023</v>
      </c>
      <c r="H12" s="1" t="str">
        <f t="shared" si="2"/>
        <v>6/28/1990</v>
      </c>
      <c r="I12" s="1" t="str">
        <f t="shared" si="3"/>
        <v>Platinum</v>
      </c>
      <c r="J12" s="1" t="str">
        <f t="shared" si="4"/>
        <v>White</v>
      </c>
    </row>
    <row r="13" ht="14.25" customHeight="1">
      <c r="A13" s="1" t="s">
        <v>385</v>
      </c>
      <c r="B13" s="1" t="s">
        <v>239</v>
      </c>
      <c r="C13" s="1" t="s">
        <v>6</v>
      </c>
      <c r="D13" s="1" t="s">
        <v>11</v>
      </c>
      <c r="F13" s="1" t="str">
        <f>IFERROR(__xludf.DUMMYFUNCTION("""COMPUTED_VALUE"""),"512194")</f>
        <v>512194</v>
      </c>
      <c r="G13" s="1" t="str">
        <f t="shared" si="1"/>
        <v>03/13/2023</v>
      </c>
      <c r="H13" s="1" t="str">
        <f t="shared" si="2"/>
        <v>4/9/1985</v>
      </c>
      <c r="I13" s="1" t="str">
        <f t="shared" si="3"/>
        <v>Gold</v>
      </c>
      <c r="J13" s="1" t="str">
        <f t="shared" si="4"/>
        <v>White</v>
      </c>
    </row>
    <row r="14" ht="14.25" customHeight="1">
      <c r="A14" s="1" t="s">
        <v>387</v>
      </c>
      <c r="B14" s="1" t="s">
        <v>233</v>
      </c>
      <c r="C14" s="1" t="s">
        <v>7</v>
      </c>
      <c r="D14" s="1" t="s">
        <v>25</v>
      </c>
      <c r="F14" s="1" t="str">
        <f>IFERROR(__xludf.DUMMYFUNCTION("""COMPUTED_VALUE"""),"135265")</f>
        <v>135265</v>
      </c>
      <c r="G14" s="1" t="str">
        <f t="shared" si="1"/>
        <v>03/28/2023</v>
      </c>
      <c r="H14" s="1" t="str">
        <f t="shared" si="2"/>
        <v>2/9/1940</v>
      </c>
      <c r="I14" s="1" t="str">
        <f t="shared" si="3"/>
        <v>Platinum</v>
      </c>
      <c r="J14" s="1" t="str">
        <f t="shared" si="4"/>
        <v>White</v>
      </c>
    </row>
    <row r="15" ht="14.25" customHeight="1">
      <c r="A15" s="1" t="s">
        <v>387</v>
      </c>
      <c r="B15" s="1" t="s">
        <v>233</v>
      </c>
      <c r="C15" s="1" t="s">
        <v>5</v>
      </c>
      <c r="D15" s="1" t="s">
        <v>388</v>
      </c>
      <c r="F15" s="1" t="str">
        <f>IFERROR(__xludf.DUMMYFUNCTION("""COMPUTED_VALUE"""),"762476")</f>
        <v>762476</v>
      </c>
      <c r="G15" s="1" t="str">
        <f t="shared" si="1"/>
        <v>03/23/2023</v>
      </c>
      <c r="H15" s="1" t="str">
        <f t="shared" si="2"/>
        <v>6/3/1956</v>
      </c>
      <c r="I15" s="1" t="str">
        <f t="shared" si="3"/>
        <v>Basic</v>
      </c>
      <c r="J15" s="1" t="str">
        <f t="shared" si="4"/>
        <v>Other</v>
      </c>
    </row>
    <row r="16" ht="14.25" customHeight="1">
      <c r="A16" s="1" t="s">
        <v>387</v>
      </c>
      <c r="B16" s="1" t="s">
        <v>233</v>
      </c>
      <c r="C16" s="1" t="s">
        <v>6</v>
      </c>
      <c r="D16" s="1" t="s">
        <v>21</v>
      </c>
      <c r="F16" s="1" t="str">
        <f>IFERROR(__xludf.DUMMYFUNCTION("""COMPUTED_VALUE"""),"506007")</f>
        <v>506007</v>
      </c>
      <c r="G16" s="1" t="str">
        <f t="shared" si="1"/>
        <v>03/23/2023</v>
      </c>
      <c r="H16" s="1" t="str">
        <f t="shared" si="2"/>
        <v>12/1/1979</v>
      </c>
      <c r="I16" s="1" t="str">
        <f t="shared" si="3"/>
        <v>Basic</v>
      </c>
      <c r="J16" s="1" t="str">
        <f t="shared" si="4"/>
        <v>Asian</v>
      </c>
    </row>
    <row r="17" ht="14.25" customHeight="1">
      <c r="A17" s="1" t="s">
        <v>389</v>
      </c>
      <c r="B17" s="1" t="s">
        <v>214</v>
      </c>
      <c r="C17" s="1" t="s">
        <v>7</v>
      </c>
      <c r="D17" s="1" t="s">
        <v>25</v>
      </c>
      <c r="F17" s="1" t="str">
        <f>IFERROR(__xludf.DUMMYFUNCTION("""COMPUTED_VALUE"""),"221229")</f>
        <v>221229</v>
      </c>
      <c r="G17" s="1" t="str">
        <f t="shared" si="1"/>
        <v>03/13/2023</v>
      </c>
      <c r="H17" s="1" t="str">
        <f t="shared" si="2"/>
        <v>2/26/1965</v>
      </c>
      <c r="I17" s="1" t="str">
        <f t="shared" si="3"/>
        <v>Platinum</v>
      </c>
      <c r="J17" s="1" t="str">
        <f t="shared" si="4"/>
        <v>White</v>
      </c>
    </row>
    <row r="18" ht="14.25" customHeight="1">
      <c r="A18" s="1" t="s">
        <v>389</v>
      </c>
      <c r="B18" s="1" t="s">
        <v>214</v>
      </c>
      <c r="C18" s="1" t="s">
        <v>5</v>
      </c>
      <c r="D18" s="1" t="s">
        <v>390</v>
      </c>
      <c r="F18" s="1" t="str">
        <f>IFERROR(__xludf.DUMMYFUNCTION("""COMPUTED_VALUE"""),"650842")</f>
        <v>650842</v>
      </c>
      <c r="G18" s="1" t="str">
        <f t="shared" si="1"/>
        <v>03/28/2023</v>
      </c>
      <c r="H18" s="1" t="str">
        <f t="shared" si="2"/>
        <v>6/6/1953</v>
      </c>
      <c r="I18" s="1" t="str">
        <f t="shared" si="3"/>
        <v>Gold</v>
      </c>
      <c r="J18" s="1" t="str">
        <f t="shared" si="4"/>
        <v>Other</v>
      </c>
    </row>
    <row r="19" ht="14.25" customHeight="1">
      <c r="A19" s="1" t="s">
        <v>389</v>
      </c>
      <c r="B19" s="1" t="s">
        <v>214</v>
      </c>
      <c r="C19" s="1" t="s">
        <v>6</v>
      </c>
      <c r="D19" s="1" t="s">
        <v>11</v>
      </c>
      <c r="F19" s="1" t="str">
        <f>IFERROR(__xludf.DUMMYFUNCTION("""COMPUTED_VALUE"""),"675810")</f>
        <v>675810</v>
      </c>
      <c r="G19" s="1" t="str">
        <f t="shared" si="1"/>
        <v>03/12/2023</v>
      </c>
      <c r="H19" s="1" t="str">
        <f t="shared" si="2"/>
        <v>12/12/1968</v>
      </c>
      <c r="I19" s="1" t="str">
        <f t="shared" si="3"/>
        <v>Gold</v>
      </c>
      <c r="J19" s="1" t="str">
        <f t="shared" si="4"/>
        <v>Other</v>
      </c>
    </row>
    <row r="20" ht="14.25" customHeight="1">
      <c r="A20" s="1" t="s">
        <v>391</v>
      </c>
      <c r="B20" s="1" t="s">
        <v>233</v>
      </c>
      <c r="C20" s="1" t="s">
        <v>7</v>
      </c>
      <c r="D20" s="1" t="s">
        <v>25</v>
      </c>
      <c r="F20" s="1" t="str">
        <f>IFERROR(__xludf.DUMMYFUNCTION("""COMPUTED_VALUE"""),"989180")</f>
        <v>989180</v>
      </c>
      <c r="G20" s="1" t="str">
        <f t="shared" si="1"/>
        <v>03/14/2023</v>
      </c>
      <c r="H20" s="1" t="str">
        <f t="shared" si="2"/>
        <v>9/18/1953</v>
      </c>
      <c r="I20" s="1" t="str">
        <f t="shared" si="3"/>
        <v>Gold</v>
      </c>
      <c r="J20" s="1" t="str">
        <f t="shared" si="4"/>
        <v>White</v>
      </c>
    </row>
    <row r="21" ht="14.25" customHeight="1">
      <c r="A21" s="1" t="s">
        <v>391</v>
      </c>
      <c r="B21" s="1" t="s">
        <v>233</v>
      </c>
      <c r="C21" s="1" t="s">
        <v>5</v>
      </c>
      <c r="D21" s="1" t="s">
        <v>392</v>
      </c>
      <c r="F21" s="1" t="str">
        <f>IFERROR(__xludf.DUMMYFUNCTION("""COMPUTED_VALUE"""),"250381")</f>
        <v>250381</v>
      </c>
      <c r="G21" s="1" t="str">
        <f t="shared" si="1"/>
        <v>03/26/2023</v>
      </c>
      <c r="H21" s="1" t="str">
        <f t="shared" si="2"/>
        <v>5/18/1945</v>
      </c>
      <c r="I21" s="1" t="str">
        <f t="shared" si="3"/>
        <v>Platinum</v>
      </c>
      <c r="J21" s="1" t="str">
        <f t="shared" si="4"/>
        <v>Other</v>
      </c>
    </row>
    <row r="22" ht="14.25" customHeight="1">
      <c r="A22" s="1" t="s">
        <v>391</v>
      </c>
      <c r="B22" s="1" t="s">
        <v>233</v>
      </c>
      <c r="C22" s="1" t="s">
        <v>6</v>
      </c>
      <c r="D22" s="1" t="s">
        <v>15</v>
      </c>
      <c r="F22" s="1" t="str">
        <f>IFERROR(__xludf.DUMMYFUNCTION("""COMPUTED_VALUE"""),"548861")</f>
        <v>548861</v>
      </c>
      <c r="G22" s="1" t="str">
        <f t="shared" si="1"/>
        <v>03/24/2023</v>
      </c>
      <c r="H22" s="1" t="str">
        <f t="shared" si="2"/>
        <v>5/3/1962</v>
      </c>
      <c r="I22" s="1" t="str">
        <f t="shared" si="3"/>
        <v>Platinum</v>
      </c>
      <c r="J22" s="1" t="str">
        <f t="shared" si="4"/>
        <v>Other</v>
      </c>
    </row>
    <row r="23" ht="14.25" customHeight="1">
      <c r="A23" s="1" t="s">
        <v>393</v>
      </c>
      <c r="B23" s="1" t="s">
        <v>317</v>
      </c>
      <c r="C23" s="1" t="s">
        <v>7</v>
      </c>
      <c r="D23" s="1" t="s">
        <v>25</v>
      </c>
      <c r="F23" s="1" t="str">
        <f>IFERROR(__xludf.DUMMYFUNCTION("""COMPUTED_VALUE"""),"184141")</f>
        <v>184141</v>
      </c>
      <c r="G23" s="1" t="str">
        <f t="shared" si="1"/>
        <v>03/22/2023</v>
      </c>
      <c r="H23" s="1" t="str">
        <f t="shared" si="2"/>
        <v>3/18/1949</v>
      </c>
      <c r="I23" s="1" t="str">
        <f t="shared" si="3"/>
        <v>Basic</v>
      </c>
      <c r="J23" s="1" t="str">
        <f t="shared" si="4"/>
        <v>Black</v>
      </c>
    </row>
    <row r="24" ht="14.25" customHeight="1">
      <c r="A24" s="1" t="s">
        <v>393</v>
      </c>
      <c r="B24" s="1" t="s">
        <v>317</v>
      </c>
      <c r="C24" s="1" t="s">
        <v>5</v>
      </c>
      <c r="D24" s="1" t="s">
        <v>394</v>
      </c>
      <c r="F24" s="1" t="str">
        <f>IFERROR(__xludf.DUMMYFUNCTION("""COMPUTED_VALUE"""),"830235")</f>
        <v>830235</v>
      </c>
      <c r="G24" s="1" t="str">
        <f t="shared" si="1"/>
        <v>03/14/2023</v>
      </c>
      <c r="H24" s="1" t="str">
        <f t="shared" si="2"/>
        <v>8/15/1947</v>
      </c>
      <c r="I24" s="1" t="str">
        <f t="shared" si="3"/>
        <v>Gold</v>
      </c>
      <c r="J24" s="1" t="str">
        <f t="shared" si="4"/>
        <v>Black</v>
      </c>
    </row>
    <row r="25" ht="14.25" customHeight="1">
      <c r="A25" s="1" t="s">
        <v>393</v>
      </c>
      <c r="B25" s="1" t="s">
        <v>317</v>
      </c>
      <c r="C25" s="1" t="s">
        <v>6</v>
      </c>
      <c r="D25" s="1" t="s">
        <v>21</v>
      </c>
      <c r="F25" s="1" t="str">
        <f>IFERROR(__xludf.DUMMYFUNCTION("""COMPUTED_VALUE"""),"664103")</f>
        <v>664103</v>
      </c>
      <c r="G25" s="1" t="str">
        <f t="shared" si="1"/>
        <v>03/23/2023</v>
      </c>
      <c r="H25" s="1" t="str">
        <f t="shared" si="2"/>
        <v>6/29/2014</v>
      </c>
      <c r="I25" s="1" t="str">
        <f t="shared" si="3"/>
        <v>Gold</v>
      </c>
      <c r="J25" s="1" t="str">
        <f t="shared" si="4"/>
        <v>Black</v>
      </c>
    </row>
    <row r="26" ht="14.25" customHeight="1">
      <c r="A26" s="1" t="s">
        <v>395</v>
      </c>
      <c r="B26" s="1" t="s">
        <v>307</v>
      </c>
      <c r="C26" s="1" t="s">
        <v>7</v>
      </c>
      <c r="D26" s="1" t="s">
        <v>13</v>
      </c>
      <c r="F26" s="1" t="str">
        <f>IFERROR(__xludf.DUMMYFUNCTION("""COMPUTED_VALUE"""),"569706")</f>
        <v>569706</v>
      </c>
      <c r="G26" s="1" t="str">
        <f t="shared" si="1"/>
        <v>03/18/2023</v>
      </c>
      <c r="H26" s="1" t="str">
        <f t="shared" si="2"/>
        <v>5/16/2014</v>
      </c>
      <c r="I26" s="1" t="str">
        <f t="shared" si="3"/>
        <v>Gold</v>
      </c>
      <c r="J26" s="1" t="str">
        <f t="shared" si="4"/>
        <v>Asian</v>
      </c>
    </row>
    <row r="27" ht="14.25" customHeight="1">
      <c r="A27" s="1" t="s">
        <v>395</v>
      </c>
      <c r="B27" s="1" t="s">
        <v>307</v>
      </c>
      <c r="C27" s="1" t="s">
        <v>5</v>
      </c>
      <c r="D27" s="1" t="s">
        <v>396</v>
      </c>
      <c r="F27" s="1" t="str">
        <f>IFERROR(__xludf.DUMMYFUNCTION("""COMPUTED_VALUE"""),"312371")</f>
        <v>312371</v>
      </c>
      <c r="G27" s="1" t="str">
        <f t="shared" si="1"/>
        <v>03/17/2023</v>
      </c>
      <c r="H27" s="1" t="str">
        <f t="shared" si="2"/>
        <v>6/28/2019</v>
      </c>
      <c r="I27" s="1" t="str">
        <f t="shared" si="3"/>
        <v>Gold</v>
      </c>
      <c r="J27" s="1" t="str">
        <f t="shared" si="4"/>
        <v>Asian</v>
      </c>
    </row>
    <row r="28" ht="14.25" customHeight="1">
      <c r="A28" s="1" t="s">
        <v>395</v>
      </c>
      <c r="B28" s="1" t="s">
        <v>307</v>
      </c>
      <c r="C28" s="1" t="s">
        <v>6</v>
      </c>
      <c r="D28" s="1" t="s">
        <v>11</v>
      </c>
      <c r="F28" s="1" t="str">
        <f>IFERROR(__xludf.DUMMYFUNCTION("""COMPUTED_VALUE"""),"638704")</f>
        <v>638704</v>
      </c>
      <c r="G28" s="1" t="str">
        <f t="shared" si="1"/>
        <v>03/21/2023</v>
      </c>
      <c r="H28" s="1" t="str">
        <f t="shared" si="2"/>
        <v>4/6/1946</v>
      </c>
      <c r="I28" s="1" t="str">
        <f t="shared" si="3"/>
        <v>Gold</v>
      </c>
      <c r="J28" s="1" t="str">
        <f t="shared" si="4"/>
        <v>Other</v>
      </c>
    </row>
    <row r="29" ht="14.25" customHeight="1">
      <c r="A29" s="1" t="s">
        <v>397</v>
      </c>
      <c r="B29" s="1" t="s">
        <v>398</v>
      </c>
      <c r="C29" s="1" t="s">
        <v>7</v>
      </c>
      <c r="D29" s="1" t="s">
        <v>25</v>
      </c>
      <c r="F29" s="1" t="str">
        <f>IFERROR(__xludf.DUMMYFUNCTION("""COMPUTED_VALUE"""),"248371")</f>
        <v>248371</v>
      </c>
      <c r="G29" s="1" t="str">
        <f t="shared" si="1"/>
        <v>03/1/2023</v>
      </c>
      <c r="H29" s="1" t="str">
        <f t="shared" si="2"/>
        <v>12/30/1979</v>
      </c>
      <c r="I29" s="1" t="str">
        <f t="shared" si="3"/>
        <v>Gold</v>
      </c>
      <c r="J29" s="1" t="str">
        <f t="shared" si="4"/>
        <v>Asian</v>
      </c>
    </row>
    <row r="30" ht="14.25" customHeight="1">
      <c r="A30" s="1" t="s">
        <v>397</v>
      </c>
      <c r="B30" s="1" t="s">
        <v>398</v>
      </c>
      <c r="C30" s="1" t="s">
        <v>5</v>
      </c>
      <c r="D30" s="1" t="s">
        <v>399</v>
      </c>
      <c r="F30" s="1" t="str">
        <f>IFERROR(__xludf.DUMMYFUNCTION("""COMPUTED_VALUE"""),"415677")</f>
        <v>415677</v>
      </c>
      <c r="G30" s="1" t="str">
        <f t="shared" si="1"/>
        <v>03/11/2023</v>
      </c>
      <c r="H30" s="1" t="str">
        <f t="shared" si="2"/>
        <v>3/31/2008</v>
      </c>
      <c r="I30" s="1" t="str">
        <f t="shared" si="3"/>
        <v>Basic</v>
      </c>
      <c r="J30" s="1" t="str">
        <f t="shared" si="4"/>
        <v>Black</v>
      </c>
    </row>
    <row r="31" ht="14.25" customHeight="1">
      <c r="A31" s="1" t="s">
        <v>397</v>
      </c>
      <c r="B31" s="1" t="s">
        <v>398</v>
      </c>
      <c r="C31" s="1" t="s">
        <v>6</v>
      </c>
      <c r="D31" s="1" t="s">
        <v>11</v>
      </c>
      <c r="F31" s="1" t="str">
        <f>IFERROR(__xludf.DUMMYFUNCTION("""COMPUTED_VALUE"""),"982951")</f>
        <v>982951</v>
      </c>
      <c r="G31" s="1" t="str">
        <f t="shared" si="1"/>
        <v>03/3/2023</v>
      </c>
      <c r="H31" s="1" t="str">
        <f t="shared" si="2"/>
        <v>3/6/1982</v>
      </c>
      <c r="I31" s="1" t="str">
        <f t="shared" si="3"/>
        <v>Platinum</v>
      </c>
      <c r="J31" s="1" t="str">
        <f t="shared" si="4"/>
        <v>Black</v>
      </c>
    </row>
    <row r="32" ht="14.25" customHeight="1">
      <c r="A32" s="1" t="s">
        <v>400</v>
      </c>
      <c r="B32" s="1" t="s">
        <v>273</v>
      </c>
      <c r="C32" s="1" t="s">
        <v>7</v>
      </c>
      <c r="D32" s="1" t="s">
        <v>13</v>
      </c>
      <c r="F32" s="1" t="str">
        <f>IFERROR(__xludf.DUMMYFUNCTION("""COMPUTED_VALUE"""),"994016")</f>
        <v>994016</v>
      </c>
      <c r="G32" s="1" t="str">
        <f t="shared" si="1"/>
        <v>03/29/2023</v>
      </c>
      <c r="H32" s="1" t="str">
        <f t="shared" si="2"/>
        <v>3/29/1955</v>
      </c>
      <c r="I32" s="1" t="str">
        <f t="shared" si="3"/>
        <v>Platinum</v>
      </c>
      <c r="J32" s="1" t="str">
        <f t="shared" si="4"/>
        <v>Other</v>
      </c>
    </row>
    <row r="33" ht="14.25" customHeight="1">
      <c r="A33" s="1" t="s">
        <v>400</v>
      </c>
      <c r="B33" s="1" t="s">
        <v>273</v>
      </c>
      <c r="C33" s="1" t="s">
        <v>5</v>
      </c>
      <c r="D33" s="1" t="s">
        <v>401</v>
      </c>
      <c r="F33" s="1" t="str">
        <f>IFERROR(__xludf.DUMMYFUNCTION("""COMPUTED_VALUE"""),"895152")</f>
        <v>895152</v>
      </c>
      <c r="G33" s="1" t="str">
        <f t="shared" si="1"/>
        <v>03/28/2023</v>
      </c>
      <c r="H33" s="1" t="str">
        <f t="shared" si="2"/>
        <v>8/4/1941</v>
      </c>
      <c r="I33" s="1" t="str">
        <f t="shared" si="3"/>
        <v>Basic</v>
      </c>
      <c r="J33" s="1" t="str">
        <f t="shared" si="4"/>
        <v>Asian</v>
      </c>
    </row>
    <row r="34" ht="14.25" customHeight="1">
      <c r="A34" s="1" t="s">
        <v>400</v>
      </c>
      <c r="B34" s="1" t="s">
        <v>273</v>
      </c>
      <c r="C34" s="1" t="s">
        <v>6</v>
      </c>
      <c r="D34" s="1" t="s">
        <v>11</v>
      </c>
      <c r="F34" s="1" t="str">
        <f>IFERROR(__xludf.DUMMYFUNCTION("""COMPUTED_VALUE"""),"255988")</f>
        <v>255988</v>
      </c>
      <c r="G34" s="1" t="str">
        <f t="shared" si="1"/>
        <v>03/24/2023</v>
      </c>
      <c r="H34" s="1" t="str">
        <f t="shared" si="2"/>
        <v>6/7/2017</v>
      </c>
      <c r="I34" s="1" t="str">
        <f t="shared" si="3"/>
        <v>Basic</v>
      </c>
      <c r="J34" s="1" t="str">
        <f t="shared" si="4"/>
        <v>Asian</v>
      </c>
    </row>
    <row r="35" ht="14.25" customHeight="1">
      <c r="A35" s="1" t="s">
        <v>402</v>
      </c>
      <c r="B35" s="1" t="s">
        <v>398</v>
      </c>
      <c r="C35" s="1" t="s">
        <v>7</v>
      </c>
      <c r="D35" s="1" t="s">
        <v>13</v>
      </c>
      <c r="F35" s="1" t="str">
        <f>IFERROR(__xludf.DUMMYFUNCTION("""COMPUTED_VALUE"""),"838073")</f>
        <v>838073</v>
      </c>
      <c r="G35" s="1" t="str">
        <f t="shared" si="1"/>
        <v>03/26/2023</v>
      </c>
      <c r="H35" s="1" t="str">
        <f t="shared" si="2"/>
        <v>9/14/2011</v>
      </c>
      <c r="I35" s="1" t="str">
        <f t="shared" si="3"/>
        <v>Basic</v>
      </c>
      <c r="J35" s="1" t="str">
        <f t="shared" si="4"/>
        <v>Asian</v>
      </c>
    </row>
    <row r="36" ht="14.25" customHeight="1">
      <c r="A36" s="1" t="s">
        <v>402</v>
      </c>
      <c r="B36" s="1" t="s">
        <v>398</v>
      </c>
      <c r="C36" s="1" t="s">
        <v>5</v>
      </c>
      <c r="D36" s="1" t="s">
        <v>403</v>
      </c>
      <c r="F36" s="1" t="str">
        <f>IFERROR(__xludf.DUMMYFUNCTION("""COMPUTED_VALUE"""),"458285")</f>
        <v>458285</v>
      </c>
      <c r="G36" s="1" t="str">
        <f t="shared" si="1"/>
        <v>03/27/2023</v>
      </c>
      <c r="H36" s="1" t="str">
        <f t="shared" si="2"/>
        <v>12/20/2018</v>
      </c>
      <c r="I36" s="1" t="str">
        <f t="shared" si="3"/>
        <v>Basic</v>
      </c>
      <c r="J36" s="1" t="str">
        <f t="shared" si="4"/>
        <v>Other</v>
      </c>
    </row>
    <row r="37" ht="14.25" customHeight="1">
      <c r="A37" s="1" t="s">
        <v>402</v>
      </c>
      <c r="B37" s="1" t="s">
        <v>398</v>
      </c>
      <c r="C37" s="1" t="s">
        <v>6</v>
      </c>
      <c r="D37" s="1" t="s">
        <v>15</v>
      </c>
      <c r="F37" s="1" t="str">
        <f>IFERROR(__xludf.DUMMYFUNCTION("""COMPUTED_VALUE"""),"924472")</f>
        <v>924472</v>
      </c>
      <c r="G37" s="1" t="str">
        <f t="shared" si="1"/>
        <v>03/24/2023</v>
      </c>
      <c r="H37" s="1" t="str">
        <f t="shared" si="2"/>
        <v>6/14/1972</v>
      </c>
      <c r="I37" s="1" t="str">
        <f t="shared" si="3"/>
        <v>Basic</v>
      </c>
      <c r="J37" s="1" t="str">
        <f t="shared" si="4"/>
        <v>White</v>
      </c>
    </row>
    <row r="38" ht="14.25" customHeight="1">
      <c r="A38" s="1" t="s">
        <v>404</v>
      </c>
      <c r="B38" s="1" t="s">
        <v>211</v>
      </c>
      <c r="C38" s="1" t="s">
        <v>7</v>
      </c>
      <c r="D38" s="1" t="s">
        <v>13</v>
      </c>
      <c r="F38" s="1" t="str">
        <f>IFERROR(__xludf.DUMMYFUNCTION("""COMPUTED_VALUE"""),"588390")</f>
        <v>588390</v>
      </c>
      <c r="G38" s="1" t="str">
        <f t="shared" si="1"/>
        <v>03/16/2023</v>
      </c>
      <c r="H38" s="1" t="str">
        <f t="shared" si="2"/>
        <v>3/22/1950</v>
      </c>
      <c r="I38" s="1" t="str">
        <f t="shared" si="3"/>
        <v>Basic</v>
      </c>
      <c r="J38" s="1" t="str">
        <f t="shared" si="4"/>
        <v>Black</v>
      </c>
    </row>
    <row r="39" ht="14.25" customHeight="1">
      <c r="A39" s="1" t="s">
        <v>404</v>
      </c>
      <c r="B39" s="1" t="s">
        <v>211</v>
      </c>
      <c r="C39" s="1" t="s">
        <v>5</v>
      </c>
      <c r="D39" s="1" t="s">
        <v>405</v>
      </c>
      <c r="F39" s="1" t="str">
        <f>IFERROR(__xludf.DUMMYFUNCTION("""COMPUTED_VALUE"""),"621479")</f>
        <v>621479</v>
      </c>
      <c r="G39" s="1" t="str">
        <f t="shared" si="1"/>
        <v>03/22/2023</v>
      </c>
      <c r="H39" s="1" t="str">
        <f t="shared" si="2"/>
        <v>1/12/1968</v>
      </c>
      <c r="I39" s="1" t="str">
        <f t="shared" si="3"/>
        <v>Basic</v>
      </c>
      <c r="J39" s="1" t="str">
        <f t="shared" si="4"/>
        <v>White</v>
      </c>
    </row>
    <row r="40" ht="14.25" customHeight="1">
      <c r="A40" s="1" t="s">
        <v>404</v>
      </c>
      <c r="B40" s="1" t="s">
        <v>211</v>
      </c>
      <c r="C40" s="1" t="s">
        <v>6</v>
      </c>
      <c r="D40" s="1" t="s">
        <v>11</v>
      </c>
      <c r="F40" s="1" t="str">
        <f>IFERROR(__xludf.DUMMYFUNCTION("""COMPUTED_VALUE"""),"791978")</f>
        <v>791978</v>
      </c>
      <c r="G40" s="1" t="str">
        <f t="shared" si="1"/>
        <v>03/28/2023</v>
      </c>
      <c r="H40" s="1" t="str">
        <f t="shared" si="2"/>
        <v>10/18/1985</v>
      </c>
      <c r="I40" s="1" t="str">
        <f t="shared" si="3"/>
        <v>Basic</v>
      </c>
      <c r="J40" s="1" t="str">
        <f t="shared" si="4"/>
        <v>White</v>
      </c>
    </row>
    <row r="41" ht="14.25" customHeight="1">
      <c r="A41" s="1" t="s">
        <v>406</v>
      </c>
      <c r="B41" s="1" t="s">
        <v>307</v>
      </c>
      <c r="C41" s="1" t="s">
        <v>7</v>
      </c>
      <c r="D41" s="1" t="s">
        <v>9</v>
      </c>
      <c r="F41" s="1" t="str">
        <f>IFERROR(__xludf.DUMMYFUNCTION("""COMPUTED_VALUE"""),"413196")</f>
        <v>413196</v>
      </c>
      <c r="G41" s="1" t="str">
        <f t="shared" si="1"/>
        <v>03/4/2023</v>
      </c>
      <c r="H41" s="1" t="str">
        <f t="shared" si="2"/>
        <v>10/1/1974</v>
      </c>
      <c r="I41" s="1" t="str">
        <f t="shared" si="3"/>
        <v>Platinum</v>
      </c>
      <c r="J41" s="1" t="str">
        <f t="shared" si="4"/>
        <v>White</v>
      </c>
    </row>
    <row r="42" ht="14.25" customHeight="1">
      <c r="A42" s="1" t="s">
        <v>406</v>
      </c>
      <c r="B42" s="1" t="s">
        <v>307</v>
      </c>
      <c r="C42" s="1" t="s">
        <v>5</v>
      </c>
      <c r="D42" s="1" t="s">
        <v>407</v>
      </c>
      <c r="F42" s="1" t="str">
        <f>IFERROR(__xludf.DUMMYFUNCTION("""COMPUTED_VALUE"""),"445531")</f>
        <v>445531</v>
      </c>
      <c r="G42" s="1" t="str">
        <f t="shared" si="1"/>
        <v>03/25/2023</v>
      </c>
      <c r="H42" s="1" t="str">
        <f t="shared" si="2"/>
        <v>11/1/1963</v>
      </c>
      <c r="I42" s="1" t="str">
        <f t="shared" si="3"/>
        <v>Gold</v>
      </c>
      <c r="J42" s="1" t="str">
        <f t="shared" si="4"/>
        <v>Black</v>
      </c>
    </row>
    <row r="43" ht="14.25" customHeight="1">
      <c r="A43" s="1" t="s">
        <v>406</v>
      </c>
      <c r="B43" s="1" t="s">
        <v>307</v>
      </c>
      <c r="C43" s="1" t="s">
        <v>6</v>
      </c>
      <c r="D43" s="1" t="s">
        <v>21</v>
      </c>
      <c r="F43" s="1" t="str">
        <f>IFERROR(__xludf.DUMMYFUNCTION("""COMPUTED_VALUE"""),"316875")</f>
        <v>316875</v>
      </c>
      <c r="G43" s="1" t="str">
        <f t="shared" si="1"/>
        <v>03/31/2023</v>
      </c>
      <c r="H43" s="1" t="str">
        <f t="shared" si="2"/>
        <v>3/7/1992</v>
      </c>
      <c r="I43" s="1" t="str">
        <f t="shared" si="3"/>
        <v>Basic</v>
      </c>
      <c r="J43" s="1" t="str">
        <f t="shared" si="4"/>
        <v>Other</v>
      </c>
    </row>
    <row r="44" ht="14.25" customHeight="1">
      <c r="A44" s="1" t="s">
        <v>408</v>
      </c>
      <c r="B44" s="1" t="s">
        <v>307</v>
      </c>
      <c r="C44" s="1" t="s">
        <v>7</v>
      </c>
      <c r="D44" s="1" t="s">
        <v>19</v>
      </c>
      <c r="F44" s="1" t="str">
        <f>IFERROR(__xludf.DUMMYFUNCTION("""COMPUTED_VALUE"""),"500741")</f>
        <v>500741</v>
      </c>
      <c r="G44" s="1" t="str">
        <f t="shared" si="1"/>
        <v>03/23/2023</v>
      </c>
      <c r="H44" s="1" t="str">
        <f t="shared" si="2"/>
        <v>12/26/1955</v>
      </c>
      <c r="I44" s="1" t="str">
        <f t="shared" si="3"/>
        <v>Basic</v>
      </c>
      <c r="J44" s="1" t="str">
        <f t="shared" si="4"/>
        <v>Other</v>
      </c>
    </row>
    <row r="45" ht="14.25" customHeight="1">
      <c r="A45" s="1" t="s">
        <v>408</v>
      </c>
      <c r="B45" s="1" t="s">
        <v>307</v>
      </c>
      <c r="C45" s="1" t="s">
        <v>5</v>
      </c>
      <c r="D45" s="1" t="s">
        <v>409</v>
      </c>
      <c r="F45" s="1" t="str">
        <f>IFERROR(__xludf.DUMMYFUNCTION("""COMPUTED_VALUE"""),"429752")</f>
        <v>429752</v>
      </c>
      <c r="G45" s="1" t="str">
        <f t="shared" si="1"/>
        <v>03/2/2023</v>
      </c>
      <c r="H45" s="1" t="str">
        <f t="shared" si="2"/>
        <v>11/15/1945</v>
      </c>
      <c r="I45" s="1" t="str">
        <f t="shared" si="3"/>
        <v>Platinum</v>
      </c>
      <c r="J45" s="1" t="str">
        <f t="shared" si="4"/>
        <v>Asian</v>
      </c>
    </row>
    <row r="46" ht="14.25" customHeight="1">
      <c r="A46" s="1" t="s">
        <v>408</v>
      </c>
      <c r="B46" s="1" t="s">
        <v>307</v>
      </c>
      <c r="C46" s="1" t="s">
        <v>6</v>
      </c>
      <c r="D46" s="1" t="s">
        <v>21</v>
      </c>
      <c r="F46" s="1" t="str">
        <f>IFERROR(__xludf.DUMMYFUNCTION("""COMPUTED_VALUE"""),"835234")</f>
        <v>835234</v>
      </c>
      <c r="G46" s="1" t="str">
        <f t="shared" si="1"/>
        <v>03/13/2023</v>
      </c>
      <c r="H46" s="1" t="str">
        <f t="shared" si="2"/>
        <v>6/4/1948</v>
      </c>
      <c r="I46" s="1" t="str">
        <f t="shared" si="3"/>
        <v>Basic</v>
      </c>
      <c r="J46" s="1" t="str">
        <f t="shared" si="4"/>
        <v>Other</v>
      </c>
    </row>
    <row r="47" ht="14.25" customHeight="1">
      <c r="A47" s="1" t="s">
        <v>410</v>
      </c>
      <c r="B47" s="1" t="s">
        <v>398</v>
      </c>
      <c r="C47" s="1" t="s">
        <v>7</v>
      </c>
      <c r="D47" s="1" t="s">
        <v>13</v>
      </c>
      <c r="F47" s="1" t="str">
        <f>IFERROR(__xludf.DUMMYFUNCTION("""COMPUTED_VALUE"""),"264065")</f>
        <v>264065</v>
      </c>
      <c r="G47" s="1" t="str">
        <f t="shared" si="1"/>
        <v>03/30/2023</v>
      </c>
      <c r="H47" s="1" t="str">
        <f t="shared" si="2"/>
        <v>12/8/1975</v>
      </c>
      <c r="I47" s="1" t="str">
        <f t="shared" si="3"/>
        <v>Platinum</v>
      </c>
      <c r="J47" s="1" t="str">
        <f t="shared" si="4"/>
        <v>Other</v>
      </c>
    </row>
    <row r="48" ht="14.25" customHeight="1">
      <c r="A48" s="1" t="s">
        <v>410</v>
      </c>
      <c r="B48" s="1" t="s">
        <v>398</v>
      </c>
      <c r="C48" s="1" t="s">
        <v>5</v>
      </c>
      <c r="D48" s="1" t="s">
        <v>411</v>
      </c>
      <c r="F48" s="1" t="str">
        <f>IFERROR(__xludf.DUMMYFUNCTION("""COMPUTED_VALUE"""),"963921")</f>
        <v>963921</v>
      </c>
      <c r="G48" s="1" t="str">
        <f t="shared" si="1"/>
        <v>03/20/2023</v>
      </c>
      <c r="H48" s="1" t="str">
        <f t="shared" si="2"/>
        <v>9/8/2011</v>
      </c>
      <c r="I48" s="1" t="str">
        <f t="shared" si="3"/>
        <v>Gold</v>
      </c>
      <c r="J48" s="1" t="str">
        <f t="shared" si="4"/>
        <v>Black</v>
      </c>
    </row>
    <row r="49" ht="14.25" customHeight="1">
      <c r="A49" s="1" t="s">
        <v>410</v>
      </c>
      <c r="B49" s="1" t="s">
        <v>398</v>
      </c>
      <c r="C49" s="1" t="s">
        <v>6</v>
      </c>
      <c r="D49" s="1" t="s">
        <v>11</v>
      </c>
      <c r="F49" s="1" t="str">
        <f>IFERROR(__xludf.DUMMYFUNCTION("""COMPUTED_VALUE"""),"393185")</f>
        <v>393185</v>
      </c>
      <c r="G49" s="1" t="str">
        <f t="shared" si="1"/>
        <v>03/5/2023</v>
      </c>
      <c r="H49" s="1" t="str">
        <f t="shared" si="2"/>
        <v>8/11/1967</v>
      </c>
      <c r="I49" s="1" t="str">
        <f t="shared" si="3"/>
        <v>Gold</v>
      </c>
      <c r="J49" s="1" t="str">
        <f t="shared" si="4"/>
        <v>Black</v>
      </c>
    </row>
    <row r="50" ht="14.25" customHeight="1">
      <c r="A50" s="1" t="s">
        <v>412</v>
      </c>
      <c r="B50" s="1" t="s">
        <v>211</v>
      </c>
      <c r="C50" s="1" t="s">
        <v>7</v>
      </c>
      <c r="D50" s="1" t="s">
        <v>9</v>
      </c>
      <c r="F50" s="1" t="str">
        <f>IFERROR(__xludf.DUMMYFUNCTION("""COMPUTED_VALUE"""),"535509")</f>
        <v>535509</v>
      </c>
      <c r="G50" s="1" t="str">
        <f t="shared" si="1"/>
        <v>03/10/2023</v>
      </c>
      <c r="H50" s="1" t="str">
        <f t="shared" si="2"/>
        <v>9/11/2019</v>
      </c>
      <c r="I50" s="1" t="str">
        <f t="shared" si="3"/>
        <v>Platinum</v>
      </c>
      <c r="J50" s="1" t="str">
        <f t="shared" si="4"/>
        <v>Other</v>
      </c>
    </row>
    <row r="51" ht="14.25" customHeight="1">
      <c r="A51" s="1" t="s">
        <v>412</v>
      </c>
      <c r="B51" s="1" t="s">
        <v>211</v>
      </c>
      <c r="C51" s="1" t="s">
        <v>5</v>
      </c>
      <c r="D51" s="1" t="s">
        <v>413</v>
      </c>
      <c r="F51" s="1" t="str">
        <f>IFERROR(__xludf.DUMMYFUNCTION("""COMPUTED_VALUE"""),"178058")</f>
        <v>178058</v>
      </c>
      <c r="G51" s="1" t="str">
        <f t="shared" si="1"/>
        <v>03/29/2023</v>
      </c>
      <c r="H51" s="1" t="str">
        <f t="shared" si="2"/>
        <v>1/1/1988</v>
      </c>
      <c r="I51" s="1" t="str">
        <f t="shared" si="3"/>
        <v>Gold</v>
      </c>
      <c r="J51" s="1" t="str">
        <f t="shared" si="4"/>
        <v>Black</v>
      </c>
    </row>
    <row r="52" ht="14.25" customHeight="1">
      <c r="A52" s="1" t="s">
        <v>412</v>
      </c>
      <c r="B52" s="1" t="s">
        <v>211</v>
      </c>
      <c r="C52" s="1" t="s">
        <v>6</v>
      </c>
      <c r="D52" s="1" t="s">
        <v>15</v>
      </c>
      <c r="F52" s="1" t="str">
        <f>IFERROR(__xludf.DUMMYFUNCTION("""COMPUTED_VALUE"""),"167376")</f>
        <v>167376</v>
      </c>
      <c r="G52" s="1" t="str">
        <f t="shared" si="1"/>
        <v>03/26/2023</v>
      </c>
      <c r="H52" s="1" t="str">
        <f t="shared" si="2"/>
        <v>6/25/2004</v>
      </c>
      <c r="I52" s="1" t="str">
        <f t="shared" si="3"/>
        <v>Basic</v>
      </c>
      <c r="J52" s="1" t="str">
        <f t="shared" si="4"/>
        <v>Black</v>
      </c>
    </row>
    <row r="53" ht="14.25" customHeight="1">
      <c r="A53" s="1" t="s">
        <v>414</v>
      </c>
      <c r="B53" s="1" t="s">
        <v>324</v>
      </c>
      <c r="C53" s="1" t="s">
        <v>7</v>
      </c>
      <c r="D53" s="1" t="s">
        <v>9</v>
      </c>
      <c r="F53" s="1" t="str">
        <f>IFERROR(__xludf.DUMMYFUNCTION("""COMPUTED_VALUE"""),"528606")</f>
        <v>528606</v>
      </c>
      <c r="G53" s="1" t="str">
        <f t="shared" si="1"/>
        <v>03/13/2023</v>
      </c>
      <c r="H53" s="1" t="str">
        <f t="shared" si="2"/>
        <v>12/3/2014</v>
      </c>
      <c r="I53" s="1" t="str">
        <f t="shared" si="3"/>
        <v>Basic</v>
      </c>
      <c r="J53" s="1" t="str">
        <f t="shared" si="4"/>
        <v>Other</v>
      </c>
    </row>
    <row r="54" ht="14.25" customHeight="1">
      <c r="A54" s="1" t="s">
        <v>414</v>
      </c>
      <c r="B54" s="1" t="s">
        <v>324</v>
      </c>
      <c r="C54" s="1" t="s">
        <v>5</v>
      </c>
      <c r="D54" s="1" t="s">
        <v>415</v>
      </c>
      <c r="F54" s="1" t="str">
        <f>IFERROR(__xludf.DUMMYFUNCTION("""COMPUTED_VALUE"""),"676797")</f>
        <v>676797</v>
      </c>
      <c r="G54" s="1" t="str">
        <f t="shared" si="1"/>
        <v>03/3/2023</v>
      </c>
      <c r="H54" s="1" t="str">
        <f t="shared" si="2"/>
        <v>11/3/1986</v>
      </c>
      <c r="I54" s="1" t="str">
        <f t="shared" si="3"/>
        <v>Gold</v>
      </c>
      <c r="J54" s="1" t="str">
        <f t="shared" si="4"/>
        <v>Asian</v>
      </c>
    </row>
    <row r="55" ht="14.25" customHeight="1">
      <c r="A55" s="1" t="s">
        <v>414</v>
      </c>
      <c r="B55" s="1" t="s">
        <v>324</v>
      </c>
      <c r="C55" s="1" t="s">
        <v>6</v>
      </c>
      <c r="D55" s="1" t="s">
        <v>15</v>
      </c>
      <c r="F55" s="1" t="str">
        <f>IFERROR(__xludf.DUMMYFUNCTION("""COMPUTED_VALUE"""),"125458")</f>
        <v>125458</v>
      </c>
      <c r="G55" s="1" t="str">
        <f t="shared" si="1"/>
        <v>03/25/2023</v>
      </c>
      <c r="H55" s="1" t="str">
        <f t="shared" si="2"/>
        <v>6/23/1960</v>
      </c>
      <c r="I55" s="1" t="str">
        <f t="shared" si="3"/>
        <v>Basic</v>
      </c>
      <c r="J55" s="1" t="str">
        <f t="shared" si="4"/>
        <v>Other</v>
      </c>
    </row>
    <row r="56" ht="14.25" customHeight="1">
      <c r="A56" s="1" t="s">
        <v>416</v>
      </c>
      <c r="B56" s="1" t="s">
        <v>214</v>
      </c>
      <c r="C56" s="1" t="s">
        <v>7</v>
      </c>
      <c r="D56" s="1" t="s">
        <v>13</v>
      </c>
      <c r="F56" s="1" t="str">
        <f>IFERROR(__xludf.DUMMYFUNCTION("""COMPUTED_VALUE"""),"932133")</f>
        <v>932133</v>
      </c>
      <c r="G56" s="1" t="str">
        <f t="shared" si="1"/>
        <v>03/25/2023</v>
      </c>
      <c r="H56" s="1" t="str">
        <f t="shared" si="2"/>
        <v>9/22/1944</v>
      </c>
      <c r="I56" s="1" t="str">
        <f t="shared" si="3"/>
        <v>Basic</v>
      </c>
      <c r="J56" s="1" t="str">
        <f t="shared" si="4"/>
        <v>Black</v>
      </c>
    </row>
    <row r="57" ht="14.25" customHeight="1">
      <c r="A57" s="1" t="s">
        <v>416</v>
      </c>
      <c r="B57" s="1" t="s">
        <v>214</v>
      </c>
      <c r="C57" s="1" t="s">
        <v>5</v>
      </c>
      <c r="D57" s="1" t="s">
        <v>417</v>
      </c>
      <c r="F57" s="1" t="str">
        <f>IFERROR(__xludf.DUMMYFUNCTION("""COMPUTED_VALUE"""),"582577")</f>
        <v>582577</v>
      </c>
      <c r="G57" s="1" t="str">
        <f t="shared" si="1"/>
        <v>03/11/2023</v>
      </c>
      <c r="H57" s="1" t="str">
        <f t="shared" si="2"/>
        <v>1/24/1999</v>
      </c>
      <c r="I57" s="1" t="str">
        <f t="shared" si="3"/>
        <v>Gold</v>
      </c>
      <c r="J57" s="1" t="str">
        <f t="shared" si="4"/>
        <v>Black</v>
      </c>
    </row>
    <row r="58" ht="14.25" customHeight="1">
      <c r="A58" s="1" t="s">
        <v>416</v>
      </c>
      <c r="B58" s="1" t="s">
        <v>214</v>
      </c>
      <c r="C58" s="1" t="s">
        <v>6</v>
      </c>
      <c r="D58" s="1" t="s">
        <v>15</v>
      </c>
      <c r="F58" s="1" t="str">
        <f>IFERROR(__xludf.DUMMYFUNCTION("""COMPUTED_VALUE"""),"714124")</f>
        <v>714124</v>
      </c>
      <c r="G58" s="1" t="str">
        <f t="shared" si="1"/>
        <v>03/7/2023</v>
      </c>
      <c r="H58" s="1" t="str">
        <f t="shared" si="2"/>
        <v>12/24/1986</v>
      </c>
      <c r="I58" s="1" t="str">
        <f t="shared" si="3"/>
        <v>Platinum</v>
      </c>
      <c r="J58" s="1" t="str">
        <f t="shared" si="4"/>
        <v>Other</v>
      </c>
    </row>
    <row r="59" ht="14.25" customHeight="1">
      <c r="A59" s="1" t="s">
        <v>418</v>
      </c>
      <c r="B59" s="1" t="s">
        <v>230</v>
      </c>
      <c r="C59" s="1" t="s">
        <v>7</v>
      </c>
      <c r="D59" s="1" t="s">
        <v>9</v>
      </c>
      <c r="F59" s="1" t="str">
        <f>IFERROR(__xludf.DUMMYFUNCTION("""COMPUTED_VALUE"""),"132163")</f>
        <v>132163</v>
      </c>
      <c r="G59" s="1" t="str">
        <f t="shared" si="1"/>
        <v>03/29/2023</v>
      </c>
      <c r="H59" s="1" t="str">
        <f t="shared" si="2"/>
        <v>8/19/2019</v>
      </c>
      <c r="I59" s="1" t="str">
        <f t="shared" si="3"/>
        <v>Basic</v>
      </c>
      <c r="J59" s="1" t="str">
        <f t="shared" si="4"/>
        <v>White</v>
      </c>
    </row>
    <row r="60" ht="14.25" customHeight="1">
      <c r="A60" s="1" t="s">
        <v>418</v>
      </c>
      <c r="B60" s="1" t="s">
        <v>230</v>
      </c>
      <c r="C60" s="1" t="s">
        <v>5</v>
      </c>
      <c r="D60" s="1" t="s">
        <v>419</v>
      </c>
      <c r="F60" s="1" t="str">
        <f>IFERROR(__xludf.DUMMYFUNCTION("""COMPUTED_VALUE"""),"527900")</f>
        <v>527900</v>
      </c>
      <c r="G60" s="1" t="str">
        <f t="shared" si="1"/>
        <v>03/20/2023</v>
      </c>
      <c r="H60" s="1" t="str">
        <f t="shared" si="2"/>
        <v>10/11/1952</v>
      </c>
      <c r="I60" s="1" t="str">
        <f t="shared" si="3"/>
        <v>Gold</v>
      </c>
      <c r="J60" s="1" t="str">
        <f t="shared" si="4"/>
        <v>Black</v>
      </c>
    </row>
    <row r="61" ht="14.25" customHeight="1">
      <c r="A61" s="1" t="s">
        <v>418</v>
      </c>
      <c r="B61" s="1" t="s">
        <v>230</v>
      </c>
      <c r="C61" s="1" t="s">
        <v>6</v>
      </c>
      <c r="D61" s="1" t="s">
        <v>11</v>
      </c>
      <c r="F61" s="1" t="str">
        <f>IFERROR(__xludf.DUMMYFUNCTION("""COMPUTED_VALUE"""),"446540")</f>
        <v>446540</v>
      </c>
      <c r="G61" s="1" t="str">
        <f t="shared" si="1"/>
        <v>03/28/2023</v>
      </c>
      <c r="H61" s="1" t="str">
        <f t="shared" si="2"/>
        <v>7/22/1950</v>
      </c>
      <c r="I61" s="1" t="str">
        <f t="shared" si="3"/>
        <v>Basic</v>
      </c>
      <c r="J61" s="1" t="str">
        <f t="shared" si="4"/>
        <v>Other</v>
      </c>
    </row>
    <row r="62" ht="14.25" customHeight="1">
      <c r="A62" s="1" t="s">
        <v>420</v>
      </c>
      <c r="B62" s="1" t="s">
        <v>239</v>
      </c>
      <c r="C62" s="1" t="s">
        <v>7</v>
      </c>
      <c r="D62" s="1" t="s">
        <v>9</v>
      </c>
      <c r="F62" s="1" t="str">
        <f>IFERROR(__xludf.DUMMYFUNCTION("""COMPUTED_VALUE"""),"571428")</f>
        <v>571428</v>
      </c>
      <c r="G62" s="1" t="str">
        <f t="shared" si="1"/>
        <v>03/8/2023</v>
      </c>
      <c r="H62" s="1" t="str">
        <f t="shared" si="2"/>
        <v>6/23/1965</v>
      </c>
      <c r="I62" s="1" t="str">
        <f t="shared" si="3"/>
        <v>Platinum</v>
      </c>
      <c r="J62" s="1" t="str">
        <f t="shared" si="4"/>
        <v>Black</v>
      </c>
    </row>
    <row r="63" ht="14.25" customHeight="1">
      <c r="A63" s="1" t="s">
        <v>420</v>
      </c>
      <c r="B63" s="1" t="s">
        <v>239</v>
      </c>
      <c r="C63" s="1" t="s">
        <v>5</v>
      </c>
      <c r="D63" s="1" t="s">
        <v>421</v>
      </c>
      <c r="F63" s="1" t="str">
        <f>IFERROR(__xludf.DUMMYFUNCTION("""COMPUTED_VALUE"""),"258885")</f>
        <v>258885</v>
      </c>
      <c r="G63" s="1" t="str">
        <f t="shared" si="1"/>
        <v>03/12/2023</v>
      </c>
      <c r="H63" s="1" t="str">
        <f t="shared" si="2"/>
        <v>3/16/1943</v>
      </c>
      <c r="I63" s="1" t="str">
        <f t="shared" si="3"/>
        <v>Basic</v>
      </c>
      <c r="J63" s="1" t="str">
        <f t="shared" si="4"/>
        <v>Black</v>
      </c>
    </row>
    <row r="64" ht="14.25" customHeight="1">
      <c r="A64" s="1" t="s">
        <v>420</v>
      </c>
      <c r="B64" s="1" t="s">
        <v>239</v>
      </c>
      <c r="C64" s="1" t="s">
        <v>6</v>
      </c>
      <c r="D64" s="1" t="s">
        <v>11</v>
      </c>
      <c r="F64" s="1" t="str">
        <f>IFERROR(__xludf.DUMMYFUNCTION("""COMPUTED_VALUE"""),"859391")</f>
        <v>859391</v>
      </c>
      <c r="G64" s="1" t="str">
        <f t="shared" si="1"/>
        <v>03/15/2023</v>
      </c>
      <c r="H64" s="1" t="str">
        <f t="shared" si="2"/>
        <v>4/11/1999</v>
      </c>
      <c r="I64" s="1" t="str">
        <f t="shared" si="3"/>
        <v>Platinum</v>
      </c>
      <c r="J64" s="1" t="str">
        <f t="shared" si="4"/>
        <v>Black</v>
      </c>
    </row>
    <row r="65" ht="14.25" customHeight="1">
      <c r="A65" s="1" t="s">
        <v>422</v>
      </c>
      <c r="B65" s="1" t="s">
        <v>273</v>
      </c>
      <c r="C65" s="1" t="s">
        <v>7</v>
      </c>
      <c r="D65" s="1" t="s">
        <v>25</v>
      </c>
      <c r="F65" s="1" t="str">
        <f>IFERROR(__xludf.DUMMYFUNCTION("""COMPUTED_VALUE"""),"606785")</f>
        <v>606785</v>
      </c>
      <c r="G65" s="1" t="str">
        <f t="shared" si="1"/>
        <v>03/16/2023</v>
      </c>
      <c r="H65" s="1" t="str">
        <f t="shared" si="2"/>
        <v>8/11/1968</v>
      </c>
      <c r="I65" s="1" t="str">
        <f t="shared" si="3"/>
        <v>Basic</v>
      </c>
      <c r="J65" s="1" t="str">
        <f t="shared" si="4"/>
        <v>White</v>
      </c>
    </row>
    <row r="66" ht="14.25" customHeight="1">
      <c r="A66" s="1" t="s">
        <v>422</v>
      </c>
      <c r="B66" s="1" t="s">
        <v>273</v>
      </c>
      <c r="C66" s="1" t="s">
        <v>5</v>
      </c>
      <c r="D66" s="1" t="s">
        <v>423</v>
      </c>
      <c r="F66" s="1" t="str">
        <f>IFERROR(__xludf.DUMMYFUNCTION("""COMPUTED_VALUE"""),"973103")</f>
        <v>973103</v>
      </c>
      <c r="G66" s="1" t="str">
        <f t="shared" si="1"/>
        <v>03/19/2023</v>
      </c>
      <c r="H66" s="1" t="str">
        <f t="shared" si="2"/>
        <v>3/29/1942</v>
      </c>
      <c r="I66" s="1" t="str">
        <f t="shared" si="3"/>
        <v>Platinum</v>
      </c>
      <c r="J66" s="1" t="str">
        <f t="shared" si="4"/>
        <v>Asian</v>
      </c>
    </row>
    <row r="67" ht="14.25" customHeight="1">
      <c r="A67" s="1" t="s">
        <v>422</v>
      </c>
      <c r="B67" s="1" t="s">
        <v>273</v>
      </c>
      <c r="C67" s="1" t="s">
        <v>6</v>
      </c>
      <c r="D67" s="1" t="s">
        <v>21</v>
      </c>
      <c r="F67" s="1" t="str">
        <f>IFERROR(__xludf.DUMMYFUNCTION("""COMPUTED_VALUE"""),"513032")</f>
        <v>513032</v>
      </c>
      <c r="G67" s="1" t="str">
        <f t="shared" si="1"/>
        <v>03/26/2023</v>
      </c>
      <c r="H67" s="1" t="str">
        <f t="shared" si="2"/>
        <v>1/12/1973</v>
      </c>
      <c r="I67" s="1" t="str">
        <f t="shared" si="3"/>
        <v>Basic</v>
      </c>
      <c r="J67" s="1" t="str">
        <f t="shared" si="4"/>
        <v>White</v>
      </c>
    </row>
    <row r="68" ht="14.25" customHeight="1">
      <c r="A68" s="1" t="s">
        <v>424</v>
      </c>
      <c r="B68" s="1" t="s">
        <v>214</v>
      </c>
      <c r="C68" s="1" t="s">
        <v>7</v>
      </c>
      <c r="D68" s="1" t="s">
        <v>25</v>
      </c>
      <c r="F68" s="1" t="str">
        <f>IFERROR(__xludf.DUMMYFUNCTION("""COMPUTED_VALUE"""),"499282")</f>
        <v>499282</v>
      </c>
      <c r="G68" s="1" t="str">
        <f t="shared" si="1"/>
        <v>03/18/2023</v>
      </c>
      <c r="H68" s="1" t="str">
        <f t="shared" si="2"/>
        <v>6/14/2019</v>
      </c>
      <c r="I68" s="1" t="str">
        <f t="shared" si="3"/>
        <v>Platinum</v>
      </c>
      <c r="J68" s="1" t="str">
        <f t="shared" si="4"/>
        <v>Other</v>
      </c>
    </row>
    <row r="69" ht="14.25" customHeight="1">
      <c r="A69" s="1" t="s">
        <v>424</v>
      </c>
      <c r="B69" s="1" t="s">
        <v>214</v>
      </c>
      <c r="C69" s="1" t="s">
        <v>5</v>
      </c>
      <c r="D69" s="1" t="s">
        <v>425</v>
      </c>
      <c r="F69" s="1" t="str">
        <f>IFERROR(__xludf.DUMMYFUNCTION("""COMPUTED_VALUE"""),"845839")</f>
        <v>845839</v>
      </c>
      <c r="G69" s="1" t="str">
        <f t="shared" si="1"/>
        <v>03/17/2023</v>
      </c>
      <c r="H69" s="1" t="str">
        <f t="shared" si="2"/>
        <v>5/29/1979</v>
      </c>
      <c r="I69" s="1" t="str">
        <f t="shared" si="3"/>
        <v>Platinum</v>
      </c>
      <c r="J69" s="1" t="str">
        <f t="shared" si="4"/>
        <v>Black</v>
      </c>
    </row>
    <row r="70" ht="14.25" customHeight="1">
      <c r="A70" s="1" t="s">
        <v>424</v>
      </c>
      <c r="B70" s="1" t="s">
        <v>214</v>
      </c>
      <c r="C70" s="1" t="s">
        <v>6</v>
      </c>
      <c r="D70" s="1" t="s">
        <v>15</v>
      </c>
      <c r="F70" s="1" t="str">
        <f>IFERROR(__xludf.DUMMYFUNCTION("""COMPUTED_VALUE"""),"725355")</f>
        <v>725355</v>
      </c>
      <c r="G70" s="1" t="str">
        <f t="shared" si="1"/>
        <v>03/19/2023</v>
      </c>
      <c r="H70" s="1" t="str">
        <f t="shared" si="2"/>
        <v>9/22/1975</v>
      </c>
      <c r="I70" s="1" t="str">
        <f t="shared" si="3"/>
        <v>Gold</v>
      </c>
      <c r="J70" s="1" t="str">
        <f t="shared" si="4"/>
        <v>Asian</v>
      </c>
    </row>
    <row r="71" ht="14.25" customHeight="1">
      <c r="A71" s="1" t="s">
        <v>426</v>
      </c>
      <c r="B71" s="1" t="s">
        <v>307</v>
      </c>
      <c r="C71" s="1" t="s">
        <v>7</v>
      </c>
      <c r="D71" s="1" t="s">
        <v>25</v>
      </c>
      <c r="F71" s="1" t="str">
        <f>IFERROR(__xludf.DUMMYFUNCTION("""COMPUTED_VALUE"""),"667164")</f>
        <v>667164</v>
      </c>
      <c r="G71" s="1" t="str">
        <f t="shared" si="1"/>
        <v>03/31/2023</v>
      </c>
      <c r="H71" s="1" t="str">
        <f t="shared" si="2"/>
        <v>3/29/1977</v>
      </c>
      <c r="I71" s="1" t="str">
        <f t="shared" si="3"/>
        <v>Gold</v>
      </c>
      <c r="J71" s="1" t="str">
        <f t="shared" si="4"/>
        <v>Other</v>
      </c>
    </row>
    <row r="72" ht="14.25" customHeight="1">
      <c r="A72" s="1" t="s">
        <v>426</v>
      </c>
      <c r="B72" s="1" t="s">
        <v>307</v>
      </c>
      <c r="C72" s="1" t="s">
        <v>5</v>
      </c>
      <c r="D72" s="1" t="s">
        <v>427</v>
      </c>
      <c r="F72" s="1" t="str">
        <f>IFERROR(__xludf.DUMMYFUNCTION("""COMPUTED_VALUE"""),"618265")</f>
        <v>618265</v>
      </c>
      <c r="G72" s="1" t="str">
        <f t="shared" si="1"/>
        <v>03/3/2023</v>
      </c>
      <c r="H72" s="1" t="str">
        <f t="shared" si="2"/>
        <v>5/31/1945</v>
      </c>
      <c r="I72" s="1" t="str">
        <f t="shared" si="3"/>
        <v>Basic</v>
      </c>
      <c r="J72" s="1" t="str">
        <f t="shared" si="4"/>
        <v>Black</v>
      </c>
    </row>
    <row r="73" ht="14.25" customHeight="1">
      <c r="A73" s="1" t="s">
        <v>426</v>
      </c>
      <c r="B73" s="1" t="s">
        <v>307</v>
      </c>
      <c r="C73" s="1" t="s">
        <v>6</v>
      </c>
      <c r="D73" s="1" t="s">
        <v>15</v>
      </c>
      <c r="F73" s="1" t="str">
        <f>IFERROR(__xludf.DUMMYFUNCTION("""COMPUTED_VALUE"""),"731691")</f>
        <v>731691</v>
      </c>
      <c r="G73" s="1" t="str">
        <f t="shared" si="1"/>
        <v>03/16/2023</v>
      </c>
      <c r="H73" s="1" t="str">
        <f t="shared" si="2"/>
        <v>7/29/1951</v>
      </c>
      <c r="I73" s="1" t="str">
        <f t="shared" si="3"/>
        <v>Platinum</v>
      </c>
      <c r="J73" s="1" t="str">
        <f t="shared" si="4"/>
        <v>Black</v>
      </c>
    </row>
    <row r="74" ht="14.25" customHeight="1">
      <c r="A74" s="1" t="s">
        <v>428</v>
      </c>
      <c r="B74" s="1" t="s">
        <v>200</v>
      </c>
      <c r="C74" s="1" t="s">
        <v>7</v>
      </c>
      <c r="D74" s="1" t="s">
        <v>19</v>
      </c>
      <c r="F74" s="1" t="str">
        <f>IFERROR(__xludf.DUMMYFUNCTION("""COMPUTED_VALUE"""),"832052")</f>
        <v>832052</v>
      </c>
      <c r="G74" s="1" t="str">
        <f t="shared" si="1"/>
        <v>03/12/2023</v>
      </c>
      <c r="H74" s="1" t="str">
        <f t="shared" si="2"/>
        <v>8/21/1981</v>
      </c>
      <c r="I74" s="1" t="str">
        <f t="shared" si="3"/>
        <v>Basic</v>
      </c>
      <c r="J74" s="1" t="str">
        <f t="shared" si="4"/>
        <v>Black</v>
      </c>
    </row>
    <row r="75" ht="14.25" customHeight="1">
      <c r="A75" s="1" t="s">
        <v>428</v>
      </c>
      <c r="B75" s="1" t="s">
        <v>200</v>
      </c>
      <c r="C75" s="1" t="s">
        <v>5</v>
      </c>
      <c r="D75" s="1" t="s">
        <v>429</v>
      </c>
      <c r="F75" s="1" t="str">
        <f>IFERROR(__xludf.DUMMYFUNCTION("""COMPUTED_VALUE"""),"296100")</f>
        <v>296100</v>
      </c>
      <c r="G75" s="1" t="str">
        <f t="shared" si="1"/>
        <v>03/19/2023</v>
      </c>
      <c r="H75" s="1" t="str">
        <f t="shared" si="2"/>
        <v>10/22/1991</v>
      </c>
      <c r="I75" s="1" t="str">
        <f t="shared" si="3"/>
        <v>Gold</v>
      </c>
      <c r="J75" s="1" t="str">
        <f t="shared" si="4"/>
        <v>Other</v>
      </c>
    </row>
    <row r="76" ht="14.25" customHeight="1">
      <c r="A76" s="1" t="s">
        <v>428</v>
      </c>
      <c r="B76" s="1" t="s">
        <v>200</v>
      </c>
      <c r="C76" s="1" t="s">
        <v>6</v>
      </c>
      <c r="D76" s="1" t="s">
        <v>15</v>
      </c>
      <c r="F76" s="1" t="str">
        <f>IFERROR(__xludf.DUMMYFUNCTION("""COMPUTED_VALUE"""),"894920")</f>
        <v>894920</v>
      </c>
      <c r="G76" s="1" t="str">
        <f t="shared" si="1"/>
        <v>03/25/2023</v>
      </c>
      <c r="H76" s="1" t="str">
        <f t="shared" si="2"/>
        <v>12/3/1979</v>
      </c>
      <c r="I76" s="1" t="str">
        <f t="shared" si="3"/>
        <v>Platinum</v>
      </c>
      <c r="J76" s="1" t="str">
        <f t="shared" si="4"/>
        <v>White</v>
      </c>
    </row>
    <row r="77" ht="14.25" customHeight="1">
      <c r="A77" s="1" t="s">
        <v>430</v>
      </c>
      <c r="B77" s="1" t="s">
        <v>223</v>
      </c>
      <c r="C77" s="1" t="s">
        <v>7</v>
      </c>
      <c r="D77" s="1" t="s">
        <v>19</v>
      </c>
      <c r="F77" s="1" t="str">
        <f>IFERROR(__xludf.DUMMYFUNCTION("""COMPUTED_VALUE"""),"344685")</f>
        <v>344685</v>
      </c>
      <c r="G77" s="1" t="str">
        <f t="shared" si="1"/>
        <v>03/10/2023</v>
      </c>
      <c r="H77" s="1" t="str">
        <f t="shared" si="2"/>
        <v>1/6/1990</v>
      </c>
      <c r="I77" s="1" t="str">
        <f t="shared" si="3"/>
        <v>Gold</v>
      </c>
      <c r="J77" s="1" t="str">
        <f t="shared" si="4"/>
        <v>Asian</v>
      </c>
    </row>
    <row r="78" ht="14.25" customHeight="1">
      <c r="A78" s="1" t="s">
        <v>430</v>
      </c>
      <c r="B78" s="1" t="s">
        <v>223</v>
      </c>
      <c r="C78" s="1" t="s">
        <v>5</v>
      </c>
      <c r="D78" s="1" t="s">
        <v>431</v>
      </c>
      <c r="F78" s="1" t="str">
        <f>IFERROR(__xludf.DUMMYFUNCTION("""COMPUTED_VALUE"""),"968654")</f>
        <v>968654</v>
      </c>
      <c r="G78" s="1" t="str">
        <f t="shared" si="1"/>
        <v>03/12/2023</v>
      </c>
      <c r="H78" s="1" t="str">
        <f t="shared" si="2"/>
        <v>1/26/1981</v>
      </c>
      <c r="I78" s="1" t="str">
        <f t="shared" si="3"/>
        <v>Gold</v>
      </c>
      <c r="J78" s="1" t="str">
        <f t="shared" si="4"/>
        <v>White</v>
      </c>
    </row>
    <row r="79" ht="14.25" customHeight="1">
      <c r="A79" s="1" t="s">
        <v>430</v>
      </c>
      <c r="B79" s="1" t="s">
        <v>223</v>
      </c>
      <c r="C79" s="1" t="s">
        <v>6</v>
      </c>
      <c r="D79" s="1" t="s">
        <v>15</v>
      </c>
      <c r="F79" s="1"/>
    </row>
    <row r="80" ht="14.25" customHeight="1">
      <c r="A80" s="1" t="s">
        <v>432</v>
      </c>
      <c r="B80" s="1" t="s">
        <v>339</v>
      </c>
      <c r="C80" s="1" t="s">
        <v>7</v>
      </c>
      <c r="D80" s="1" t="s">
        <v>9</v>
      </c>
    </row>
    <row r="81" ht="14.25" customHeight="1">
      <c r="A81" s="1" t="s">
        <v>432</v>
      </c>
      <c r="B81" s="1" t="s">
        <v>339</v>
      </c>
      <c r="C81" s="1" t="s">
        <v>5</v>
      </c>
      <c r="D81" s="1" t="s">
        <v>433</v>
      </c>
    </row>
    <row r="82" ht="14.25" customHeight="1">
      <c r="A82" s="1" t="s">
        <v>432</v>
      </c>
      <c r="B82" s="1" t="s">
        <v>339</v>
      </c>
      <c r="C82" s="1" t="s">
        <v>6</v>
      </c>
      <c r="D82" s="1" t="s">
        <v>15</v>
      </c>
    </row>
    <row r="83" ht="14.25" customHeight="1">
      <c r="A83" s="1" t="s">
        <v>434</v>
      </c>
      <c r="B83" s="1" t="s">
        <v>188</v>
      </c>
      <c r="C83" s="1" t="s">
        <v>7</v>
      </c>
      <c r="D83" s="1" t="s">
        <v>19</v>
      </c>
    </row>
    <row r="84" ht="14.25" customHeight="1">
      <c r="A84" s="1" t="s">
        <v>434</v>
      </c>
      <c r="B84" s="1" t="s">
        <v>188</v>
      </c>
      <c r="C84" s="1" t="s">
        <v>5</v>
      </c>
      <c r="D84" s="1" t="s">
        <v>435</v>
      </c>
    </row>
    <row r="85" ht="14.25" customHeight="1">
      <c r="A85" s="1" t="s">
        <v>434</v>
      </c>
      <c r="B85" s="1" t="s">
        <v>188</v>
      </c>
      <c r="C85" s="1" t="s">
        <v>6</v>
      </c>
      <c r="D85" s="1" t="s">
        <v>15</v>
      </c>
    </row>
    <row r="86" ht="14.25" customHeight="1">
      <c r="A86" s="1" t="s">
        <v>436</v>
      </c>
      <c r="B86" s="1" t="s">
        <v>317</v>
      </c>
      <c r="C86" s="1" t="s">
        <v>7</v>
      </c>
      <c r="D86" s="1" t="s">
        <v>25</v>
      </c>
    </row>
    <row r="87" ht="14.25" customHeight="1">
      <c r="A87" s="1" t="s">
        <v>436</v>
      </c>
      <c r="B87" s="1" t="s">
        <v>317</v>
      </c>
      <c r="C87" s="1" t="s">
        <v>5</v>
      </c>
      <c r="D87" s="1" t="s">
        <v>437</v>
      </c>
    </row>
    <row r="88" ht="14.25" customHeight="1">
      <c r="A88" s="1" t="s">
        <v>436</v>
      </c>
      <c r="B88" s="1" t="s">
        <v>317</v>
      </c>
      <c r="C88" s="1" t="s">
        <v>6</v>
      </c>
      <c r="D88" s="1" t="s">
        <v>21</v>
      </c>
    </row>
    <row r="89" ht="14.25" customHeight="1">
      <c r="A89" s="1" t="s">
        <v>438</v>
      </c>
      <c r="B89" s="1" t="s">
        <v>292</v>
      </c>
      <c r="C89" s="1" t="s">
        <v>7</v>
      </c>
      <c r="D89" s="1" t="s">
        <v>25</v>
      </c>
    </row>
    <row r="90" ht="14.25" customHeight="1">
      <c r="A90" s="1" t="s">
        <v>438</v>
      </c>
      <c r="B90" s="1" t="s">
        <v>292</v>
      </c>
      <c r="C90" s="1" t="s">
        <v>5</v>
      </c>
      <c r="D90" s="1" t="s">
        <v>439</v>
      </c>
    </row>
    <row r="91" ht="14.25" customHeight="1">
      <c r="A91" s="1" t="s">
        <v>438</v>
      </c>
      <c r="B91" s="1" t="s">
        <v>292</v>
      </c>
      <c r="C91" s="1" t="s">
        <v>6</v>
      </c>
      <c r="D91" s="1" t="s">
        <v>11</v>
      </c>
    </row>
    <row r="92" ht="14.25" customHeight="1">
      <c r="A92" s="1" t="s">
        <v>440</v>
      </c>
      <c r="B92" s="1" t="s">
        <v>378</v>
      </c>
      <c r="C92" s="1" t="s">
        <v>7</v>
      </c>
      <c r="D92" s="1" t="s">
        <v>9</v>
      </c>
    </row>
    <row r="93" ht="14.25" customHeight="1">
      <c r="A93" s="1" t="s">
        <v>440</v>
      </c>
      <c r="B93" s="1" t="s">
        <v>378</v>
      </c>
      <c r="C93" s="1" t="s">
        <v>5</v>
      </c>
      <c r="D93" s="1" t="s">
        <v>441</v>
      </c>
    </row>
    <row r="94" ht="14.25" customHeight="1">
      <c r="A94" s="1" t="s">
        <v>440</v>
      </c>
      <c r="B94" s="1" t="s">
        <v>378</v>
      </c>
      <c r="C94" s="1" t="s">
        <v>6</v>
      </c>
      <c r="D94" s="1" t="s">
        <v>11</v>
      </c>
    </row>
    <row r="95" ht="14.25" customHeight="1">
      <c r="A95" s="1" t="s">
        <v>442</v>
      </c>
      <c r="B95" s="1" t="s">
        <v>211</v>
      </c>
      <c r="C95" s="1" t="s">
        <v>7</v>
      </c>
      <c r="D95" s="1" t="s">
        <v>19</v>
      </c>
    </row>
    <row r="96" ht="14.25" customHeight="1">
      <c r="A96" s="1" t="s">
        <v>442</v>
      </c>
      <c r="B96" s="1" t="s">
        <v>211</v>
      </c>
      <c r="C96" s="1" t="s">
        <v>5</v>
      </c>
      <c r="D96" s="1" t="s">
        <v>443</v>
      </c>
    </row>
    <row r="97" ht="14.25" customHeight="1">
      <c r="A97" s="1" t="s">
        <v>442</v>
      </c>
      <c r="B97" s="1" t="s">
        <v>211</v>
      </c>
      <c r="C97" s="1" t="s">
        <v>6</v>
      </c>
      <c r="D97" s="1" t="s">
        <v>21</v>
      </c>
    </row>
    <row r="98" ht="14.25" customHeight="1">
      <c r="A98" s="1" t="s">
        <v>444</v>
      </c>
      <c r="B98" s="1" t="s">
        <v>239</v>
      </c>
      <c r="C98" s="1" t="s">
        <v>7</v>
      </c>
      <c r="D98" s="1" t="s">
        <v>19</v>
      </c>
    </row>
    <row r="99" ht="14.25" customHeight="1">
      <c r="A99" s="1" t="s">
        <v>444</v>
      </c>
      <c r="B99" s="1" t="s">
        <v>239</v>
      </c>
      <c r="C99" s="1" t="s">
        <v>5</v>
      </c>
      <c r="D99" s="1" t="s">
        <v>445</v>
      </c>
    </row>
    <row r="100" ht="14.25" customHeight="1">
      <c r="A100" s="1" t="s">
        <v>444</v>
      </c>
      <c r="B100" s="1" t="s">
        <v>239</v>
      </c>
      <c r="C100" s="1" t="s">
        <v>6</v>
      </c>
      <c r="D100" s="1" t="s">
        <v>21</v>
      </c>
    </row>
    <row r="101" ht="14.25" customHeight="1">
      <c r="A101" s="1" t="s">
        <v>446</v>
      </c>
      <c r="B101" s="1" t="s">
        <v>230</v>
      </c>
      <c r="C101" s="1" t="s">
        <v>7</v>
      </c>
      <c r="D101" s="1" t="s">
        <v>19</v>
      </c>
    </row>
    <row r="102" ht="14.25" customHeight="1">
      <c r="A102" s="1" t="s">
        <v>446</v>
      </c>
      <c r="B102" s="1" t="s">
        <v>230</v>
      </c>
      <c r="C102" s="1" t="s">
        <v>5</v>
      </c>
      <c r="D102" s="1" t="s">
        <v>447</v>
      </c>
    </row>
    <row r="103" ht="14.25" customHeight="1">
      <c r="A103" s="1" t="s">
        <v>446</v>
      </c>
      <c r="B103" s="1" t="s">
        <v>230</v>
      </c>
      <c r="C103" s="1" t="s">
        <v>6</v>
      </c>
      <c r="D103" s="1" t="s">
        <v>21</v>
      </c>
    </row>
    <row r="104" ht="14.25" customHeight="1">
      <c r="A104" s="1" t="s">
        <v>448</v>
      </c>
      <c r="B104" s="1" t="s">
        <v>203</v>
      </c>
      <c r="C104" s="1" t="s">
        <v>7</v>
      </c>
      <c r="D104" s="1" t="s">
        <v>9</v>
      </c>
    </row>
    <row r="105" ht="14.25" customHeight="1">
      <c r="A105" s="1" t="s">
        <v>448</v>
      </c>
      <c r="B105" s="1" t="s">
        <v>203</v>
      </c>
      <c r="C105" s="1" t="s">
        <v>5</v>
      </c>
      <c r="D105" s="1" t="s">
        <v>449</v>
      </c>
    </row>
    <row r="106" ht="14.25" customHeight="1">
      <c r="A106" s="1" t="s">
        <v>448</v>
      </c>
      <c r="B106" s="1" t="s">
        <v>203</v>
      </c>
      <c r="C106" s="1" t="s">
        <v>6</v>
      </c>
      <c r="D106" s="1" t="s">
        <v>21</v>
      </c>
    </row>
    <row r="107" ht="14.25" customHeight="1">
      <c r="A107" s="1" t="s">
        <v>450</v>
      </c>
      <c r="B107" s="1" t="s">
        <v>239</v>
      </c>
      <c r="C107" s="1" t="s">
        <v>7</v>
      </c>
      <c r="D107" s="1" t="s">
        <v>13</v>
      </c>
    </row>
    <row r="108" ht="14.25" customHeight="1">
      <c r="A108" s="1" t="s">
        <v>450</v>
      </c>
      <c r="B108" s="1" t="s">
        <v>239</v>
      </c>
      <c r="C108" s="1" t="s">
        <v>5</v>
      </c>
      <c r="D108" s="1" t="s">
        <v>451</v>
      </c>
    </row>
    <row r="109" ht="14.25" customHeight="1">
      <c r="A109" s="1" t="s">
        <v>450</v>
      </c>
      <c r="B109" s="1" t="s">
        <v>239</v>
      </c>
      <c r="C109" s="1" t="s">
        <v>6</v>
      </c>
      <c r="D109" s="1" t="s">
        <v>21</v>
      </c>
    </row>
    <row r="110" ht="14.25" customHeight="1">
      <c r="A110" s="1" t="s">
        <v>452</v>
      </c>
      <c r="B110" s="1" t="s">
        <v>249</v>
      </c>
      <c r="C110" s="1" t="s">
        <v>7</v>
      </c>
      <c r="D110" s="1" t="s">
        <v>25</v>
      </c>
    </row>
    <row r="111" ht="14.25" customHeight="1">
      <c r="A111" s="1" t="s">
        <v>452</v>
      </c>
      <c r="B111" s="1" t="s">
        <v>249</v>
      </c>
      <c r="C111" s="1" t="s">
        <v>5</v>
      </c>
      <c r="D111" s="1" t="s">
        <v>453</v>
      </c>
    </row>
    <row r="112" ht="14.25" customHeight="1">
      <c r="A112" s="1" t="s">
        <v>452</v>
      </c>
      <c r="B112" s="1" t="s">
        <v>249</v>
      </c>
      <c r="C112" s="1" t="s">
        <v>6</v>
      </c>
      <c r="D112" s="1" t="s">
        <v>21</v>
      </c>
    </row>
    <row r="113" ht="14.25" customHeight="1">
      <c r="A113" s="1" t="s">
        <v>454</v>
      </c>
      <c r="B113" s="1" t="s">
        <v>273</v>
      </c>
      <c r="C113" s="1" t="s">
        <v>7</v>
      </c>
      <c r="D113" s="1" t="s">
        <v>13</v>
      </c>
    </row>
    <row r="114" ht="14.25" customHeight="1">
      <c r="A114" s="1" t="s">
        <v>454</v>
      </c>
      <c r="B114" s="1" t="s">
        <v>273</v>
      </c>
      <c r="C114" s="1" t="s">
        <v>5</v>
      </c>
      <c r="D114" s="1" t="s">
        <v>455</v>
      </c>
    </row>
    <row r="115" ht="14.25" customHeight="1">
      <c r="A115" s="1" t="s">
        <v>454</v>
      </c>
      <c r="B115" s="1" t="s">
        <v>273</v>
      </c>
      <c r="C115" s="1" t="s">
        <v>6</v>
      </c>
      <c r="D115" s="1" t="s">
        <v>21</v>
      </c>
    </row>
    <row r="116" ht="14.25" customHeight="1">
      <c r="A116" s="1" t="s">
        <v>456</v>
      </c>
      <c r="B116" s="1" t="s">
        <v>211</v>
      </c>
      <c r="C116" s="1" t="s">
        <v>7</v>
      </c>
      <c r="D116" s="1" t="s">
        <v>13</v>
      </c>
    </row>
    <row r="117" ht="14.25" customHeight="1">
      <c r="A117" s="1" t="s">
        <v>456</v>
      </c>
      <c r="B117" s="1" t="s">
        <v>211</v>
      </c>
      <c r="C117" s="1" t="s">
        <v>5</v>
      </c>
      <c r="D117" s="1" t="s">
        <v>457</v>
      </c>
    </row>
    <row r="118" ht="14.25" customHeight="1">
      <c r="A118" s="1" t="s">
        <v>456</v>
      </c>
      <c r="B118" s="1" t="s">
        <v>211</v>
      </c>
      <c r="C118" s="1" t="s">
        <v>6</v>
      </c>
      <c r="D118" s="1" t="s">
        <v>21</v>
      </c>
    </row>
    <row r="119" ht="14.25" customHeight="1">
      <c r="A119" s="1" t="s">
        <v>458</v>
      </c>
      <c r="B119" s="1" t="s">
        <v>310</v>
      </c>
      <c r="C119" s="1" t="s">
        <v>7</v>
      </c>
      <c r="D119" s="1" t="s">
        <v>13</v>
      </c>
    </row>
    <row r="120" ht="14.25" customHeight="1">
      <c r="A120" s="1" t="s">
        <v>458</v>
      </c>
      <c r="B120" s="1" t="s">
        <v>310</v>
      </c>
      <c r="C120" s="1" t="s">
        <v>5</v>
      </c>
      <c r="D120" s="1" t="s">
        <v>459</v>
      </c>
    </row>
    <row r="121" ht="14.25" customHeight="1">
      <c r="A121" s="1" t="s">
        <v>458</v>
      </c>
      <c r="B121" s="1" t="s">
        <v>310</v>
      </c>
      <c r="C121" s="1" t="s">
        <v>6</v>
      </c>
      <c r="D121" s="1" t="s">
        <v>11</v>
      </c>
    </row>
    <row r="122" ht="14.25" customHeight="1">
      <c r="A122" s="1" t="s">
        <v>460</v>
      </c>
      <c r="B122" s="1" t="s">
        <v>208</v>
      </c>
      <c r="C122" s="1" t="s">
        <v>7</v>
      </c>
      <c r="D122" s="1" t="s">
        <v>25</v>
      </c>
    </row>
    <row r="123" ht="14.25" customHeight="1">
      <c r="A123" s="1" t="s">
        <v>460</v>
      </c>
      <c r="B123" s="1" t="s">
        <v>208</v>
      </c>
      <c r="C123" s="1" t="s">
        <v>5</v>
      </c>
      <c r="D123" s="1" t="s">
        <v>461</v>
      </c>
    </row>
    <row r="124" ht="14.25" customHeight="1">
      <c r="A124" s="1" t="s">
        <v>460</v>
      </c>
      <c r="B124" s="1" t="s">
        <v>208</v>
      </c>
      <c r="C124" s="1" t="s">
        <v>6</v>
      </c>
      <c r="D124" s="1" t="s">
        <v>15</v>
      </c>
    </row>
    <row r="125" ht="14.25" customHeight="1">
      <c r="A125" s="1" t="s">
        <v>462</v>
      </c>
      <c r="B125" s="1" t="s">
        <v>463</v>
      </c>
      <c r="C125" s="1" t="s">
        <v>7</v>
      </c>
      <c r="D125" s="1" t="s">
        <v>9</v>
      </c>
    </row>
    <row r="126" ht="14.25" customHeight="1">
      <c r="A126" s="1" t="s">
        <v>462</v>
      </c>
      <c r="B126" s="1" t="s">
        <v>463</v>
      </c>
      <c r="C126" s="1" t="s">
        <v>5</v>
      </c>
      <c r="D126" s="1" t="s">
        <v>464</v>
      </c>
    </row>
    <row r="127" ht="14.25" customHeight="1">
      <c r="A127" s="1" t="s">
        <v>462</v>
      </c>
      <c r="B127" s="1" t="s">
        <v>463</v>
      </c>
      <c r="C127" s="1" t="s">
        <v>6</v>
      </c>
      <c r="D127" s="1" t="s">
        <v>21</v>
      </c>
    </row>
    <row r="128" ht="14.25" customHeight="1">
      <c r="A128" s="1" t="s">
        <v>465</v>
      </c>
      <c r="B128" s="1" t="s">
        <v>307</v>
      </c>
      <c r="C128" s="1" t="s">
        <v>7</v>
      </c>
      <c r="D128" s="1" t="s">
        <v>9</v>
      </c>
    </row>
    <row r="129" ht="14.25" customHeight="1">
      <c r="A129" s="1" t="s">
        <v>465</v>
      </c>
      <c r="B129" s="1" t="s">
        <v>307</v>
      </c>
      <c r="C129" s="1" t="s">
        <v>5</v>
      </c>
      <c r="D129" s="1" t="s">
        <v>466</v>
      </c>
    </row>
    <row r="130" ht="14.25" customHeight="1">
      <c r="A130" s="1" t="s">
        <v>465</v>
      </c>
      <c r="B130" s="1" t="s">
        <v>307</v>
      </c>
      <c r="C130" s="1" t="s">
        <v>6</v>
      </c>
      <c r="D130" s="1" t="s">
        <v>21</v>
      </c>
    </row>
    <row r="131" ht="14.25" customHeight="1">
      <c r="A131" s="1" t="s">
        <v>467</v>
      </c>
      <c r="B131" s="1" t="s">
        <v>236</v>
      </c>
      <c r="C131" s="1" t="s">
        <v>7</v>
      </c>
      <c r="D131" s="1" t="s">
        <v>19</v>
      </c>
    </row>
    <row r="132" ht="14.25" customHeight="1">
      <c r="A132" s="1" t="s">
        <v>467</v>
      </c>
      <c r="B132" s="1" t="s">
        <v>236</v>
      </c>
      <c r="C132" s="1" t="s">
        <v>5</v>
      </c>
      <c r="D132" s="1" t="s">
        <v>468</v>
      </c>
    </row>
    <row r="133" ht="14.25" customHeight="1">
      <c r="A133" s="1" t="s">
        <v>467</v>
      </c>
      <c r="B133" s="1" t="s">
        <v>236</v>
      </c>
      <c r="C133" s="1" t="s">
        <v>6</v>
      </c>
      <c r="D133" s="1" t="s">
        <v>11</v>
      </c>
    </row>
    <row r="134" ht="14.25" customHeight="1">
      <c r="A134" s="1" t="s">
        <v>469</v>
      </c>
      <c r="B134" s="1" t="s">
        <v>398</v>
      </c>
      <c r="C134" s="1" t="s">
        <v>7</v>
      </c>
      <c r="D134" s="1" t="s">
        <v>9</v>
      </c>
    </row>
    <row r="135" ht="14.25" customHeight="1">
      <c r="A135" s="1" t="s">
        <v>469</v>
      </c>
      <c r="B135" s="1" t="s">
        <v>398</v>
      </c>
      <c r="C135" s="1" t="s">
        <v>5</v>
      </c>
      <c r="D135" s="1" t="s">
        <v>470</v>
      </c>
    </row>
    <row r="136" ht="14.25" customHeight="1">
      <c r="A136" s="1" t="s">
        <v>469</v>
      </c>
      <c r="B136" s="1" t="s">
        <v>398</v>
      </c>
      <c r="C136" s="1" t="s">
        <v>6</v>
      </c>
      <c r="D136" s="1" t="s">
        <v>21</v>
      </c>
    </row>
    <row r="137" ht="14.25" customHeight="1">
      <c r="A137" s="1" t="s">
        <v>471</v>
      </c>
      <c r="B137" s="1" t="s">
        <v>472</v>
      </c>
      <c r="C137" s="1" t="s">
        <v>7</v>
      </c>
      <c r="D137" s="1" t="s">
        <v>9</v>
      </c>
    </row>
    <row r="138" ht="14.25" customHeight="1">
      <c r="A138" s="1" t="s">
        <v>471</v>
      </c>
      <c r="B138" s="1" t="s">
        <v>472</v>
      </c>
      <c r="C138" s="1" t="s">
        <v>5</v>
      </c>
      <c r="D138" s="1" t="s">
        <v>473</v>
      </c>
    </row>
    <row r="139" ht="14.25" customHeight="1">
      <c r="A139" s="1" t="s">
        <v>471</v>
      </c>
      <c r="B139" s="1" t="s">
        <v>472</v>
      </c>
      <c r="C139" s="1" t="s">
        <v>6</v>
      </c>
      <c r="D139" s="1" t="s">
        <v>11</v>
      </c>
    </row>
    <row r="140" ht="14.25" customHeight="1">
      <c r="A140" s="1" t="s">
        <v>474</v>
      </c>
      <c r="B140" s="1" t="s">
        <v>182</v>
      </c>
      <c r="C140" s="1" t="s">
        <v>7</v>
      </c>
      <c r="D140" s="1" t="s">
        <v>25</v>
      </c>
    </row>
    <row r="141" ht="14.25" customHeight="1">
      <c r="A141" s="1" t="s">
        <v>474</v>
      </c>
      <c r="B141" s="1" t="s">
        <v>182</v>
      </c>
      <c r="C141" s="1" t="s">
        <v>5</v>
      </c>
      <c r="D141" s="1" t="s">
        <v>475</v>
      </c>
    </row>
    <row r="142" ht="14.25" customHeight="1">
      <c r="A142" s="1" t="s">
        <v>474</v>
      </c>
      <c r="B142" s="1" t="s">
        <v>182</v>
      </c>
      <c r="C142" s="1" t="s">
        <v>6</v>
      </c>
      <c r="D142" s="1" t="s">
        <v>15</v>
      </c>
    </row>
    <row r="143" ht="14.25" customHeight="1">
      <c r="A143" s="1" t="s">
        <v>476</v>
      </c>
      <c r="B143" s="1" t="s">
        <v>185</v>
      </c>
      <c r="C143" s="1" t="s">
        <v>7</v>
      </c>
      <c r="D143" s="1" t="s">
        <v>25</v>
      </c>
    </row>
    <row r="144" ht="14.25" customHeight="1">
      <c r="A144" s="1" t="s">
        <v>476</v>
      </c>
      <c r="B144" s="1" t="s">
        <v>185</v>
      </c>
      <c r="C144" s="1" t="s">
        <v>5</v>
      </c>
      <c r="D144" s="1" t="s">
        <v>477</v>
      </c>
    </row>
    <row r="145" ht="14.25" customHeight="1">
      <c r="A145" s="1" t="s">
        <v>476</v>
      </c>
      <c r="B145" s="1" t="s">
        <v>185</v>
      </c>
      <c r="C145" s="1" t="s">
        <v>6</v>
      </c>
      <c r="D145" s="1" t="s">
        <v>15</v>
      </c>
    </row>
    <row r="146" ht="14.25" customHeight="1">
      <c r="A146" s="1" t="s">
        <v>478</v>
      </c>
      <c r="B146" s="1" t="s">
        <v>233</v>
      </c>
      <c r="C146" s="1" t="s">
        <v>7</v>
      </c>
      <c r="D146" s="1" t="s">
        <v>9</v>
      </c>
    </row>
    <row r="147" ht="14.25" customHeight="1">
      <c r="A147" s="1" t="s">
        <v>478</v>
      </c>
      <c r="B147" s="1" t="s">
        <v>233</v>
      </c>
      <c r="C147" s="1" t="s">
        <v>5</v>
      </c>
      <c r="D147" s="1" t="s">
        <v>479</v>
      </c>
    </row>
    <row r="148" ht="14.25" customHeight="1">
      <c r="A148" s="1" t="s">
        <v>478</v>
      </c>
      <c r="B148" s="1" t="s">
        <v>233</v>
      </c>
      <c r="C148" s="1" t="s">
        <v>6</v>
      </c>
      <c r="D148" s="1" t="s">
        <v>11</v>
      </c>
    </row>
    <row r="149" ht="14.25" customHeight="1">
      <c r="A149" s="1" t="s">
        <v>480</v>
      </c>
      <c r="B149" s="1" t="s">
        <v>378</v>
      </c>
      <c r="C149" s="1" t="s">
        <v>7</v>
      </c>
      <c r="D149" s="1" t="s">
        <v>25</v>
      </c>
    </row>
    <row r="150" ht="14.25" customHeight="1">
      <c r="A150" s="1" t="s">
        <v>480</v>
      </c>
      <c r="B150" s="1" t="s">
        <v>378</v>
      </c>
      <c r="C150" s="1" t="s">
        <v>5</v>
      </c>
      <c r="D150" s="1" t="s">
        <v>481</v>
      </c>
    </row>
    <row r="151" ht="14.25" customHeight="1">
      <c r="A151" s="1" t="s">
        <v>480</v>
      </c>
      <c r="B151" s="1" t="s">
        <v>378</v>
      </c>
      <c r="C151" s="1" t="s">
        <v>6</v>
      </c>
      <c r="D151" s="1" t="s">
        <v>15</v>
      </c>
    </row>
    <row r="152" ht="14.25" customHeight="1">
      <c r="A152" s="1" t="s">
        <v>482</v>
      </c>
      <c r="B152" s="1" t="s">
        <v>230</v>
      </c>
      <c r="C152" s="1" t="s">
        <v>7</v>
      </c>
      <c r="D152" s="1" t="s">
        <v>25</v>
      </c>
    </row>
    <row r="153" ht="14.25" customHeight="1">
      <c r="A153" s="1" t="s">
        <v>482</v>
      </c>
      <c r="B153" s="1" t="s">
        <v>230</v>
      </c>
      <c r="C153" s="1" t="s">
        <v>5</v>
      </c>
      <c r="D153" s="1" t="s">
        <v>483</v>
      </c>
    </row>
    <row r="154" ht="14.25" customHeight="1">
      <c r="A154" s="1" t="s">
        <v>482</v>
      </c>
      <c r="B154" s="1" t="s">
        <v>230</v>
      </c>
      <c r="C154" s="1" t="s">
        <v>6</v>
      </c>
      <c r="D154" s="1" t="s">
        <v>21</v>
      </c>
    </row>
    <row r="155" ht="14.25" customHeight="1">
      <c r="A155" s="1" t="s">
        <v>484</v>
      </c>
      <c r="B155" s="1" t="s">
        <v>398</v>
      </c>
      <c r="C155" s="1" t="s">
        <v>7</v>
      </c>
      <c r="D155" s="1" t="s">
        <v>9</v>
      </c>
    </row>
    <row r="156" ht="14.25" customHeight="1">
      <c r="A156" s="1" t="s">
        <v>484</v>
      </c>
      <c r="B156" s="1" t="s">
        <v>398</v>
      </c>
      <c r="C156" s="1" t="s">
        <v>5</v>
      </c>
      <c r="D156" s="1" t="s">
        <v>485</v>
      </c>
    </row>
    <row r="157" ht="14.25" customHeight="1">
      <c r="A157" s="1" t="s">
        <v>484</v>
      </c>
      <c r="B157" s="1" t="s">
        <v>398</v>
      </c>
      <c r="C157" s="1" t="s">
        <v>6</v>
      </c>
      <c r="D157" s="1" t="s">
        <v>21</v>
      </c>
    </row>
    <row r="158" ht="14.25" customHeight="1">
      <c r="A158" s="1" t="s">
        <v>486</v>
      </c>
      <c r="B158" s="1" t="s">
        <v>292</v>
      </c>
      <c r="C158" s="1" t="s">
        <v>7</v>
      </c>
      <c r="D158" s="1" t="s">
        <v>19</v>
      </c>
    </row>
    <row r="159" ht="14.25" customHeight="1">
      <c r="A159" s="1" t="s">
        <v>486</v>
      </c>
      <c r="B159" s="1" t="s">
        <v>292</v>
      </c>
      <c r="C159" s="1" t="s">
        <v>5</v>
      </c>
      <c r="D159" s="1" t="s">
        <v>487</v>
      </c>
    </row>
    <row r="160" ht="14.25" customHeight="1">
      <c r="A160" s="1" t="s">
        <v>486</v>
      </c>
      <c r="B160" s="1" t="s">
        <v>292</v>
      </c>
      <c r="C160" s="1" t="s">
        <v>6</v>
      </c>
      <c r="D160" s="1" t="s">
        <v>15</v>
      </c>
    </row>
    <row r="161" ht="14.25" customHeight="1">
      <c r="A161" s="1" t="s">
        <v>488</v>
      </c>
      <c r="B161" s="1" t="s">
        <v>208</v>
      </c>
      <c r="C161" s="1" t="s">
        <v>7</v>
      </c>
      <c r="D161" s="1" t="s">
        <v>9</v>
      </c>
    </row>
    <row r="162" ht="14.25" customHeight="1">
      <c r="A162" s="1" t="s">
        <v>488</v>
      </c>
      <c r="B162" s="1" t="s">
        <v>208</v>
      </c>
      <c r="C162" s="1" t="s">
        <v>5</v>
      </c>
      <c r="D162" s="1" t="s">
        <v>489</v>
      </c>
    </row>
    <row r="163" ht="14.25" customHeight="1">
      <c r="A163" s="1" t="s">
        <v>488</v>
      </c>
      <c r="B163" s="1" t="s">
        <v>208</v>
      </c>
      <c r="C163" s="1" t="s">
        <v>6</v>
      </c>
      <c r="D163" s="1" t="s">
        <v>21</v>
      </c>
    </row>
    <row r="164" ht="14.25" customHeight="1">
      <c r="A164" s="1" t="s">
        <v>490</v>
      </c>
      <c r="B164" s="1" t="s">
        <v>208</v>
      </c>
      <c r="C164" s="1" t="s">
        <v>7</v>
      </c>
      <c r="D164" s="1" t="s">
        <v>25</v>
      </c>
    </row>
    <row r="165" ht="14.25" customHeight="1">
      <c r="A165" s="1" t="s">
        <v>490</v>
      </c>
      <c r="B165" s="1" t="s">
        <v>208</v>
      </c>
      <c r="C165" s="1" t="s">
        <v>5</v>
      </c>
      <c r="D165" s="1" t="s">
        <v>491</v>
      </c>
    </row>
    <row r="166" ht="14.25" customHeight="1">
      <c r="A166" s="1" t="s">
        <v>490</v>
      </c>
      <c r="B166" s="1" t="s">
        <v>208</v>
      </c>
      <c r="C166" s="1" t="s">
        <v>6</v>
      </c>
      <c r="D166" s="1" t="s">
        <v>21</v>
      </c>
    </row>
    <row r="167" ht="14.25" customHeight="1">
      <c r="A167" s="1" t="s">
        <v>492</v>
      </c>
      <c r="B167" s="1" t="s">
        <v>317</v>
      </c>
      <c r="C167" s="1" t="s">
        <v>7</v>
      </c>
      <c r="D167" s="1" t="s">
        <v>25</v>
      </c>
    </row>
    <row r="168" ht="14.25" customHeight="1">
      <c r="A168" s="1" t="s">
        <v>492</v>
      </c>
      <c r="B168" s="1" t="s">
        <v>317</v>
      </c>
      <c r="C168" s="1" t="s">
        <v>5</v>
      </c>
      <c r="D168" s="1" t="s">
        <v>493</v>
      </c>
    </row>
    <row r="169" ht="14.25" customHeight="1">
      <c r="A169" s="1" t="s">
        <v>492</v>
      </c>
      <c r="B169" s="1" t="s">
        <v>317</v>
      </c>
      <c r="C169" s="1" t="s">
        <v>6</v>
      </c>
      <c r="D169" s="1" t="s">
        <v>15</v>
      </c>
    </row>
    <row r="170" ht="14.25" customHeight="1">
      <c r="A170" s="1" t="s">
        <v>494</v>
      </c>
      <c r="B170" s="1" t="s">
        <v>246</v>
      </c>
      <c r="C170" s="1" t="s">
        <v>7</v>
      </c>
      <c r="D170" s="1" t="s">
        <v>9</v>
      </c>
    </row>
    <row r="171" ht="14.25" customHeight="1">
      <c r="A171" s="1" t="s">
        <v>494</v>
      </c>
      <c r="B171" s="1" t="s">
        <v>246</v>
      </c>
      <c r="C171" s="1" t="s">
        <v>5</v>
      </c>
      <c r="D171" s="1" t="s">
        <v>495</v>
      </c>
    </row>
    <row r="172" ht="14.25" customHeight="1">
      <c r="A172" s="1" t="s">
        <v>494</v>
      </c>
      <c r="B172" s="1" t="s">
        <v>246</v>
      </c>
      <c r="C172" s="1" t="s">
        <v>6</v>
      </c>
      <c r="D172" s="1" t="s">
        <v>11</v>
      </c>
    </row>
    <row r="173" ht="14.25" customHeight="1">
      <c r="A173" s="1" t="s">
        <v>496</v>
      </c>
      <c r="B173" s="1" t="s">
        <v>378</v>
      </c>
      <c r="C173" s="1" t="s">
        <v>7</v>
      </c>
      <c r="D173" s="1" t="s">
        <v>13</v>
      </c>
    </row>
    <row r="174" ht="14.25" customHeight="1">
      <c r="A174" s="1" t="s">
        <v>496</v>
      </c>
      <c r="B174" s="1" t="s">
        <v>378</v>
      </c>
      <c r="C174" s="1" t="s">
        <v>5</v>
      </c>
      <c r="D174" s="1" t="s">
        <v>497</v>
      </c>
    </row>
    <row r="175" ht="14.25" customHeight="1">
      <c r="A175" s="1" t="s">
        <v>496</v>
      </c>
      <c r="B175" s="1" t="s">
        <v>378</v>
      </c>
      <c r="C175" s="1" t="s">
        <v>6</v>
      </c>
      <c r="D175" s="1" t="s">
        <v>21</v>
      </c>
    </row>
    <row r="176" ht="14.25" customHeight="1">
      <c r="A176" s="1" t="s">
        <v>498</v>
      </c>
      <c r="B176" s="1" t="s">
        <v>182</v>
      </c>
      <c r="C176" s="1" t="s">
        <v>7</v>
      </c>
      <c r="D176" s="1" t="s">
        <v>25</v>
      </c>
    </row>
    <row r="177" ht="14.25" customHeight="1">
      <c r="A177" s="1" t="s">
        <v>498</v>
      </c>
      <c r="B177" s="1" t="s">
        <v>182</v>
      </c>
      <c r="C177" s="1" t="s">
        <v>5</v>
      </c>
      <c r="D177" s="1" t="s">
        <v>499</v>
      </c>
    </row>
    <row r="178" ht="14.25" customHeight="1">
      <c r="A178" s="1" t="s">
        <v>498</v>
      </c>
      <c r="B178" s="1" t="s">
        <v>182</v>
      </c>
      <c r="C178" s="1" t="s">
        <v>6</v>
      </c>
      <c r="D178" s="1" t="s">
        <v>15</v>
      </c>
    </row>
    <row r="179" ht="14.25" customHeight="1">
      <c r="A179" s="1" t="s">
        <v>500</v>
      </c>
      <c r="B179" s="1" t="s">
        <v>211</v>
      </c>
      <c r="C179" s="1" t="s">
        <v>7</v>
      </c>
      <c r="D179" s="1" t="s">
        <v>9</v>
      </c>
    </row>
    <row r="180" ht="14.25" customHeight="1">
      <c r="A180" s="1" t="s">
        <v>500</v>
      </c>
      <c r="B180" s="1" t="s">
        <v>211</v>
      </c>
      <c r="C180" s="1" t="s">
        <v>5</v>
      </c>
      <c r="D180" s="1" t="s">
        <v>501</v>
      </c>
    </row>
    <row r="181" ht="14.25" customHeight="1">
      <c r="A181" s="1" t="s">
        <v>500</v>
      </c>
      <c r="B181" s="1" t="s">
        <v>211</v>
      </c>
      <c r="C181" s="1" t="s">
        <v>6</v>
      </c>
      <c r="D181" s="1" t="s">
        <v>21</v>
      </c>
    </row>
    <row r="182" ht="14.25" customHeight="1">
      <c r="A182" s="1" t="s">
        <v>502</v>
      </c>
      <c r="B182" s="1" t="s">
        <v>191</v>
      </c>
      <c r="C182" s="1" t="s">
        <v>7</v>
      </c>
      <c r="D182" s="1" t="s">
        <v>25</v>
      </c>
    </row>
    <row r="183" ht="14.25" customHeight="1">
      <c r="A183" s="1" t="s">
        <v>502</v>
      </c>
      <c r="B183" s="1" t="s">
        <v>191</v>
      </c>
      <c r="C183" s="1" t="s">
        <v>5</v>
      </c>
      <c r="D183" s="1" t="s">
        <v>503</v>
      </c>
    </row>
    <row r="184" ht="14.25" customHeight="1">
      <c r="A184" s="1" t="s">
        <v>502</v>
      </c>
      <c r="B184" s="1" t="s">
        <v>191</v>
      </c>
      <c r="C184" s="1" t="s">
        <v>6</v>
      </c>
      <c r="D184" s="1" t="s">
        <v>11</v>
      </c>
    </row>
    <row r="185" ht="14.25" customHeight="1">
      <c r="A185" s="1" t="s">
        <v>504</v>
      </c>
      <c r="B185" s="1" t="s">
        <v>324</v>
      </c>
      <c r="C185" s="1" t="s">
        <v>7</v>
      </c>
      <c r="D185" s="1" t="s">
        <v>25</v>
      </c>
    </row>
    <row r="186" ht="14.25" customHeight="1">
      <c r="A186" s="1" t="s">
        <v>504</v>
      </c>
      <c r="B186" s="1" t="s">
        <v>324</v>
      </c>
      <c r="C186" s="1" t="s">
        <v>5</v>
      </c>
      <c r="D186" s="1" t="s">
        <v>505</v>
      </c>
    </row>
    <row r="187" ht="14.25" customHeight="1">
      <c r="A187" s="1" t="s">
        <v>504</v>
      </c>
      <c r="B187" s="1" t="s">
        <v>324</v>
      </c>
      <c r="C187" s="1" t="s">
        <v>6</v>
      </c>
      <c r="D187" s="1" t="s">
        <v>21</v>
      </c>
    </row>
    <row r="188" ht="14.25" customHeight="1">
      <c r="A188" s="1" t="s">
        <v>506</v>
      </c>
      <c r="B188" s="1" t="s">
        <v>264</v>
      </c>
      <c r="C188" s="1" t="s">
        <v>7</v>
      </c>
      <c r="D188" s="1" t="s">
        <v>25</v>
      </c>
    </row>
    <row r="189" ht="14.25" customHeight="1">
      <c r="A189" s="1" t="s">
        <v>506</v>
      </c>
      <c r="B189" s="1" t="s">
        <v>264</v>
      </c>
      <c r="C189" s="1" t="s">
        <v>5</v>
      </c>
      <c r="D189" s="1" t="s">
        <v>507</v>
      </c>
    </row>
    <row r="190" ht="14.25" customHeight="1">
      <c r="A190" s="1" t="s">
        <v>506</v>
      </c>
      <c r="B190" s="1" t="s">
        <v>264</v>
      </c>
      <c r="C190" s="1" t="s">
        <v>6</v>
      </c>
      <c r="D190" s="1" t="s">
        <v>11</v>
      </c>
    </row>
    <row r="191" ht="14.25" customHeight="1">
      <c r="A191" s="1" t="s">
        <v>508</v>
      </c>
      <c r="B191" s="1" t="s">
        <v>249</v>
      </c>
      <c r="C191" s="1" t="s">
        <v>7</v>
      </c>
      <c r="D191" s="1" t="s">
        <v>13</v>
      </c>
    </row>
    <row r="192" ht="14.25" customHeight="1">
      <c r="A192" s="1" t="s">
        <v>508</v>
      </c>
      <c r="B192" s="1" t="s">
        <v>249</v>
      </c>
      <c r="C192" s="1" t="s">
        <v>5</v>
      </c>
      <c r="D192" s="1" t="s">
        <v>509</v>
      </c>
    </row>
    <row r="193" ht="14.25" customHeight="1">
      <c r="A193" s="1" t="s">
        <v>508</v>
      </c>
      <c r="B193" s="1" t="s">
        <v>249</v>
      </c>
      <c r="C193" s="1" t="s">
        <v>6</v>
      </c>
      <c r="D193" s="1" t="s">
        <v>21</v>
      </c>
    </row>
    <row r="194" ht="14.25" customHeight="1">
      <c r="A194" s="1" t="s">
        <v>510</v>
      </c>
      <c r="B194" s="1" t="s">
        <v>381</v>
      </c>
      <c r="C194" s="1" t="s">
        <v>7</v>
      </c>
      <c r="D194" s="1" t="s">
        <v>19</v>
      </c>
    </row>
    <row r="195" ht="14.25" customHeight="1">
      <c r="A195" s="1" t="s">
        <v>510</v>
      </c>
      <c r="B195" s="1" t="s">
        <v>381</v>
      </c>
      <c r="C195" s="1" t="s">
        <v>5</v>
      </c>
      <c r="D195" s="1" t="s">
        <v>511</v>
      </c>
    </row>
    <row r="196" ht="14.25" customHeight="1">
      <c r="A196" s="1" t="s">
        <v>510</v>
      </c>
      <c r="B196" s="1" t="s">
        <v>381</v>
      </c>
      <c r="C196" s="1" t="s">
        <v>6</v>
      </c>
      <c r="D196" s="1" t="s">
        <v>11</v>
      </c>
    </row>
    <row r="197" ht="14.25" customHeight="1">
      <c r="A197" s="1" t="s">
        <v>512</v>
      </c>
      <c r="B197" s="1" t="s">
        <v>230</v>
      </c>
      <c r="C197" s="1" t="s">
        <v>7</v>
      </c>
      <c r="D197" s="1" t="s">
        <v>13</v>
      </c>
    </row>
    <row r="198" ht="14.25" customHeight="1">
      <c r="A198" s="1" t="s">
        <v>512</v>
      </c>
      <c r="B198" s="1" t="s">
        <v>230</v>
      </c>
      <c r="C198" s="1" t="s">
        <v>5</v>
      </c>
      <c r="D198" s="1" t="s">
        <v>513</v>
      </c>
    </row>
    <row r="199" ht="14.25" customHeight="1">
      <c r="A199" s="1" t="s">
        <v>512</v>
      </c>
      <c r="B199" s="1" t="s">
        <v>230</v>
      </c>
      <c r="C199" s="1" t="s">
        <v>6</v>
      </c>
      <c r="D199" s="1" t="s">
        <v>21</v>
      </c>
    </row>
    <row r="200" ht="14.25" customHeight="1">
      <c r="A200" s="1" t="s">
        <v>514</v>
      </c>
      <c r="B200" s="1" t="s">
        <v>200</v>
      </c>
      <c r="C200" s="1" t="s">
        <v>7</v>
      </c>
      <c r="D200" s="1" t="s">
        <v>9</v>
      </c>
    </row>
    <row r="201" ht="14.25" customHeight="1">
      <c r="A201" s="1" t="s">
        <v>514</v>
      </c>
      <c r="B201" s="1" t="s">
        <v>200</v>
      </c>
      <c r="C201" s="1" t="s">
        <v>5</v>
      </c>
      <c r="D201" s="1" t="s">
        <v>515</v>
      </c>
    </row>
    <row r="202" ht="14.25" customHeight="1">
      <c r="A202" s="1" t="s">
        <v>514</v>
      </c>
      <c r="B202" s="1" t="s">
        <v>200</v>
      </c>
      <c r="C202" s="1" t="s">
        <v>6</v>
      </c>
      <c r="D202" s="1" t="s">
        <v>11</v>
      </c>
    </row>
    <row r="203" ht="14.25" customHeight="1">
      <c r="A203" s="1" t="s">
        <v>516</v>
      </c>
      <c r="B203" s="1" t="s">
        <v>223</v>
      </c>
      <c r="C203" s="1" t="s">
        <v>7</v>
      </c>
      <c r="D203" s="1" t="s">
        <v>25</v>
      </c>
    </row>
    <row r="204" ht="14.25" customHeight="1">
      <c r="A204" s="1" t="s">
        <v>516</v>
      </c>
      <c r="B204" s="1" t="s">
        <v>223</v>
      </c>
      <c r="C204" s="1" t="s">
        <v>5</v>
      </c>
      <c r="D204" s="1" t="s">
        <v>517</v>
      </c>
    </row>
    <row r="205" ht="14.25" customHeight="1">
      <c r="A205" s="1" t="s">
        <v>516</v>
      </c>
      <c r="B205" s="1" t="s">
        <v>223</v>
      </c>
      <c r="C205" s="1" t="s">
        <v>6</v>
      </c>
      <c r="D205" s="1" t="s">
        <v>11</v>
      </c>
    </row>
    <row r="206" ht="14.25" customHeight="1">
      <c r="A206" s="1" t="s">
        <v>518</v>
      </c>
      <c r="B206" s="1" t="s">
        <v>381</v>
      </c>
      <c r="C206" s="1" t="s">
        <v>7</v>
      </c>
      <c r="D206" s="1" t="s">
        <v>19</v>
      </c>
    </row>
    <row r="207" ht="14.25" customHeight="1">
      <c r="A207" s="1" t="s">
        <v>518</v>
      </c>
      <c r="B207" s="1" t="s">
        <v>381</v>
      </c>
      <c r="C207" s="1" t="s">
        <v>5</v>
      </c>
      <c r="D207" s="1" t="s">
        <v>519</v>
      </c>
    </row>
    <row r="208" ht="14.25" customHeight="1">
      <c r="A208" s="1" t="s">
        <v>518</v>
      </c>
      <c r="B208" s="1" t="s">
        <v>381</v>
      </c>
      <c r="C208" s="1" t="s">
        <v>6</v>
      </c>
      <c r="D208" s="1" t="s">
        <v>15</v>
      </c>
    </row>
    <row r="209" ht="14.25" customHeight="1">
      <c r="A209" s="1" t="s">
        <v>520</v>
      </c>
      <c r="B209" s="1" t="s">
        <v>463</v>
      </c>
      <c r="C209" s="1" t="s">
        <v>7</v>
      </c>
      <c r="D209" s="1" t="s">
        <v>9</v>
      </c>
    </row>
    <row r="210" ht="14.25" customHeight="1">
      <c r="A210" s="1" t="s">
        <v>520</v>
      </c>
      <c r="B210" s="1" t="s">
        <v>463</v>
      </c>
      <c r="C210" s="1" t="s">
        <v>5</v>
      </c>
      <c r="D210" s="1" t="s">
        <v>521</v>
      </c>
    </row>
    <row r="211" ht="14.25" customHeight="1">
      <c r="A211" s="1" t="s">
        <v>520</v>
      </c>
      <c r="B211" s="1" t="s">
        <v>463</v>
      </c>
      <c r="C211" s="1" t="s">
        <v>6</v>
      </c>
      <c r="D211" s="1" t="s">
        <v>15</v>
      </c>
    </row>
    <row r="212" ht="14.25" customHeight="1">
      <c r="A212" s="1" t="s">
        <v>522</v>
      </c>
      <c r="B212" s="1" t="s">
        <v>292</v>
      </c>
      <c r="C212" s="1" t="s">
        <v>7</v>
      </c>
      <c r="D212" s="1" t="s">
        <v>25</v>
      </c>
    </row>
    <row r="213" ht="14.25" customHeight="1">
      <c r="A213" s="1" t="s">
        <v>522</v>
      </c>
      <c r="B213" s="1" t="s">
        <v>292</v>
      </c>
      <c r="C213" s="1" t="s">
        <v>5</v>
      </c>
      <c r="D213" s="1" t="s">
        <v>523</v>
      </c>
    </row>
    <row r="214" ht="14.25" customHeight="1">
      <c r="A214" s="1" t="s">
        <v>522</v>
      </c>
      <c r="B214" s="1" t="s">
        <v>292</v>
      </c>
      <c r="C214" s="1" t="s">
        <v>6</v>
      </c>
      <c r="D214" s="1" t="s">
        <v>21</v>
      </c>
    </row>
    <row r="215" ht="14.25" customHeight="1">
      <c r="A215" s="1" t="s">
        <v>524</v>
      </c>
      <c r="B215" s="1" t="s">
        <v>249</v>
      </c>
      <c r="C215" s="1" t="s">
        <v>7</v>
      </c>
      <c r="D215" s="1" t="s">
        <v>25</v>
      </c>
    </row>
    <row r="216" ht="14.25" customHeight="1">
      <c r="A216" s="1" t="s">
        <v>524</v>
      </c>
      <c r="B216" s="1" t="s">
        <v>249</v>
      </c>
      <c r="C216" s="1" t="s">
        <v>5</v>
      </c>
      <c r="D216" s="1" t="s">
        <v>525</v>
      </c>
    </row>
    <row r="217" ht="14.25" customHeight="1">
      <c r="A217" s="1" t="s">
        <v>524</v>
      </c>
      <c r="B217" s="1" t="s">
        <v>249</v>
      </c>
      <c r="C217" s="1" t="s">
        <v>6</v>
      </c>
      <c r="D217" s="1" t="s">
        <v>11</v>
      </c>
    </row>
    <row r="218" ht="14.25" customHeight="1">
      <c r="A218" s="1" t="s">
        <v>526</v>
      </c>
      <c r="B218" s="1" t="s">
        <v>324</v>
      </c>
      <c r="C218" s="1" t="s">
        <v>7</v>
      </c>
      <c r="D218" s="1" t="s">
        <v>25</v>
      </c>
    </row>
    <row r="219" ht="14.25" customHeight="1">
      <c r="A219" s="1" t="s">
        <v>526</v>
      </c>
      <c r="B219" s="1" t="s">
        <v>324</v>
      </c>
      <c r="C219" s="1" t="s">
        <v>5</v>
      </c>
      <c r="D219" s="1" t="s">
        <v>527</v>
      </c>
    </row>
    <row r="220" ht="14.25" customHeight="1">
      <c r="A220" s="1" t="s">
        <v>526</v>
      </c>
      <c r="B220" s="1" t="s">
        <v>324</v>
      </c>
      <c r="C220" s="1" t="s">
        <v>6</v>
      </c>
      <c r="D220" s="1" t="s">
        <v>21</v>
      </c>
    </row>
    <row r="221" ht="14.25" customHeight="1">
      <c r="A221" s="1" t="s">
        <v>528</v>
      </c>
      <c r="B221" s="1" t="s">
        <v>381</v>
      </c>
      <c r="C221" s="1" t="s">
        <v>7</v>
      </c>
      <c r="D221" s="1" t="s">
        <v>9</v>
      </c>
    </row>
    <row r="222" ht="14.25" customHeight="1">
      <c r="A222" s="1" t="s">
        <v>528</v>
      </c>
      <c r="B222" s="1" t="s">
        <v>381</v>
      </c>
      <c r="C222" s="1" t="s">
        <v>5</v>
      </c>
      <c r="D222" s="1" t="s">
        <v>529</v>
      </c>
    </row>
    <row r="223" ht="14.25" customHeight="1">
      <c r="A223" s="1" t="s">
        <v>528</v>
      </c>
      <c r="B223" s="1" t="s">
        <v>381</v>
      </c>
      <c r="C223" s="1" t="s">
        <v>6</v>
      </c>
      <c r="D223" s="1" t="s">
        <v>15</v>
      </c>
    </row>
    <row r="224" ht="14.25" customHeight="1">
      <c r="A224" s="1" t="s">
        <v>530</v>
      </c>
      <c r="B224" s="1" t="s">
        <v>208</v>
      </c>
      <c r="C224" s="1" t="s">
        <v>7</v>
      </c>
      <c r="D224" s="1" t="s">
        <v>13</v>
      </c>
    </row>
    <row r="225" ht="14.25" customHeight="1">
      <c r="A225" s="1" t="s">
        <v>530</v>
      </c>
      <c r="B225" s="1" t="s">
        <v>208</v>
      </c>
      <c r="C225" s="1" t="s">
        <v>5</v>
      </c>
      <c r="D225" s="1" t="s">
        <v>531</v>
      </c>
    </row>
    <row r="226" ht="14.25" customHeight="1">
      <c r="A226" s="1" t="s">
        <v>530</v>
      </c>
      <c r="B226" s="1" t="s">
        <v>208</v>
      </c>
      <c r="C226" s="1" t="s">
        <v>6</v>
      </c>
      <c r="D226" s="1" t="s">
        <v>11</v>
      </c>
    </row>
    <row r="227" ht="14.25" customHeight="1">
      <c r="A227" s="1" t="s">
        <v>532</v>
      </c>
      <c r="B227" s="1" t="s">
        <v>233</v>
      </c>
      <c r="C227" s="1" t="s">
        <v>7</v>
      </c>
      <c r="D227" s="1" t="s">
        <v>19</v>
      </c>
    </row>
    <row r="228" ht="14.25" customHeight="1">
      <c r="A228" s="1" t="s">
        <v>532</v>
      </c>
      <c r="B228" s="1" t="s">
        <v>233</v>
      </c>
      <c r="C228" s="1" t="s">
        <v>5</v>
      </c>
      <c r="D228" s="1" t="s">
        <v>533</v>
      </c>
    </row>
    <row r="229" ht="14.25" customHeight="1">
      <c r="A229" s="1" t="s">
        <v>532</v>
      </c>
      <c r="B229" s="1" t="s">
        <v>233</v>
      </c>
      <c r="C229" s="1" t="s">
        <v>6</v>
      </c>
      <c r="D229" s="1" t="s">
        <v>15</v>
      </c>
    </row>
    <row r="230" ht="14.25" customHeight="1">
      <c r="A230" s="1" t="s">
        <v>534</v>
      </c>
      <c r="B230" s="1" t="s">
        <v>324</v>
      </c>
      <c r="C230" s="1" t="s">
        <v>7</v>
      </c>
      <c r="D230" s="1" t="s">
        <v>13</v>
      </c>
    </row>
    <row r="231" ht="14.25" customHeight="1">
      <c r="A231" s="1" t="s">
        <v>534</v>
      </c>
      <c r="B231" s="1" t="s">
        <v>324</v>
      </c>
      <c r="C231" s="1" t="s">
        <v>5</v>
      </c>
      <c r="D231" s="1" t="s">
        <v>535</v>
      </c>
    </row>
    <row r="232" ht="14.25" customHeight="1">
      <c r="A232" s="1" t="s">
        <v>534</v>
      </c>
      <c r="B232" s="1" t="s">
        <v>324</v>
      </c>
      <c r="C232" s="1" t="s">
        <v>6</v>
      </c>
      <c r="D232" s="1" t="s">
        <v>15</v>
      </c>
    </row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536</v>
      </c>
      <c r="B2" s="1" t="s">
        <v>381</v>
      </c>
      <c r="C2" s="1" t="s">
        <v>7</v>
      </c>
      <c r="D2" s="1" t="s">
        <v>25</v>
      </c>
      <c r="F2" s="4" t="str">
        <f>IFERROR(__xludf.DUMMYFUNCTION("UNIQUE(A2:A1000)"),"797127")</f>
        <v>797127</v>
      </c>
      <c r="G2" s="4" t="str">
        <f t="shared" ref="G2:G92" si="1">CONCATENATE("04","/",VLOOKUP(F2, A2:D1000, 2, false),"/",2023)</f>
        <v>04/19/2023</v>
      </c>
      <c r="H2" s="4" t="str">
        <f t="shared" ref="H2:H92" si="2">INDEX(D:D, MATCH(1, ($A:$A = $F2) * ($C:$C = $H$1), 0))</f>
        <v>6/26/1987</v>
      </c>
      <c r="I2" s="4" t="str">
        <f t="shared" ref="I2:I92" si="3">INDEX(D:D, MATCH(1, ($A:$A = $F2) * ($C:$C = $I$1), 0))</f>
        <v>Platinum</v>
      </c>
      <c r="J2" s="4" t="str">
        <f t="shared" ref="J2:J92" si="4">INDEX(D:D, MATCH(1, ($A:$A = $F2) * ($C:$C = $J$1), 0))</f>
        <v>Black</v>
      </c>
    </row>
    <row r="3" ht="14.25" customHeight="1">
      <c r="A3" s="1" t="s">
        <v>536</v>
      </c>
      <c r="B3" s="1" t="s">
        <v>381</v>
      </c>
      <c r="C3" s="1" t="s">
        <v>5</v>
      </c>
      <c r="D3" s="1" t="s">
        <v>537</v>
      </c>
      <c r="F3" s="1" t="str">
        <f>IFERROR(__xludf.DUMMYFUNCTION("""COMPUTED_VALUE"""),"282672")</f>
        <v>282672</v>
      </c>
      <c r="G3" s="4" t="str">
        <f t="shared" si="1"/>
        <v>04/9/2023</v>
      </c>
      <c r="H3" s="4" t="str">
        <f t="shared" si="2"/>
        <v>7/20/1991</v>
      </c>
      <c r="I3" s="4" t="str">
        <f t="shared" si="3"/>
        <v>Platinum</v>
      </c>
      <c r="J3" s="4" t="str">
        <f t="shared" si="4"/>
        <v>Black</v>
      </c>
    </row>
    <row r="4" ht="14.25" customHeight="1">
      <c r="A4" s="1" t="s">
        <v>536</v>
      </c>
      <c r="B4" s="1" t="s">
        <v>381</v>
      </c>
      <c r="C4" s="1" t="s">
        <v>6</v>
      </c>
      <c r="D4" s="1" t="s">
        <v>11</v>
      </c>
      <c r="F4" s="1" t="str">
        <f>IFERROR(__xludf.DUMMYFUNCTION("""COMPUTED_VALUE"""),"339687")</f>
        <v>339687</v>
      </c>
      <c r="G4" s="4" t="str">
        <f t="shared" si="1"/>
        <v>04/9/2023</v>
      </c>
      <c r="H4" s="4" t="str">
        <f t="shared" si="2"/>
        <v>11/29/1946</v>
      </c>
      <c r="I4" s="4" t="str">
        <f t="shared" si="3"/>
        <v>Basic</v>
      </c>
      <c r="J4" s="4" t="str">
        <f t="shared" si="4"/>
        <v>White</v>
      </c>
    </row>
    <row r="5" ht="14.25" customHeight="1">
      <c r="A5" s="1" t="s">
        <v>538</v>
      </c>
      <c r="B5" s="1" t="s">
        <v>197</v>
      </c>
      <c r="C5" s="1" t="s">
        <v>7</v>
      </c>
      <c r="D5" s="1" t="s">
        <v>25</v>
      </c>
      <c r="F5" s="1" t="str">
        <f>IFERROR(__xludf.DUMMYFUNCTION("""COMPUTED_VALUE"""),"818135")</f>
        <v>818135</v>
      </c>
      <c r="G5" s="4" t="str">
        <f t="shared" si="1"/>
        <v>04/3/2023</v>
      </c>
      <c r="H5" s="4" t="str">
        <f t="shared" si="2"/>
        <v>4/11/1954</v>
      </c>
      <c r="I5" s="4" t="str">
        <f t="shared" si="3"/>
        <v>Gold</v>
      </c>
      <c r="J5" s="4" t="str">
        <f t="shared" si="4"/>
        <v>Asian</v>
      </c>
    </row>
    <row r="6" ht="14.25" customHeight="1">
      <c r="A6" s="1" t="s">
        <v>538</v>
      </c>
      <c r="B6" s="1" t="s">
        <v>197</v>
      </c>
      <c r="C6" s="1" t="s">
        <v>5</v>
      </c>
      <c r="D6" s="1" t="s">
        <v>539</v>
      </c>
      <c r="F6" s="1" t="str">
        <f>IFERROR(__xludf.DUMMYFUNCTION("""COMPUTED_VALUE"""),"192505")</f>
        <v>192505</v>
      </c>
      <c r="G6" s="4" t="str">
        <f t="shared" si="1"/>
        <v>04/6/2023</v>
      </c>
      <c r="H6" s="4" t="str">
        <f t="shared" si="2"/>
        <v>10/15/1966</v>
      </c>
      <c r="I6" s="4" t="str">
        <f t="shared" si="3"/>
        <v>Platinum</v>
      </c>
      <c r="J6" s="4" t="str">
        <f t="shared" si="4"/>
        <v>White</v>
      </c>
    </row>
    <row r="7" ht="14.25" customHeight="1">
      <c r="A7" s="1" t="s">
        <v>538</v>
      </c>
      <c r="B7" s="1" t="s">
        <v>197</v>
      </c>
      <c r="C7" s="1" t="s">
        <v>6</v>
      </c>
      <c r="D7" s="1" t="s">
        <v>11</v>
      </c>
      <c r="F7" s="1" t="str">
        <f>IFERROR(__xludf.DUMMYFUNCTION("""COMPUTED_VALUE"""),"669663")</f>
        <v>669663</v>
      </c>
      <c r="G7" s="4" t="str">
        <f t="shared" si="1"/>
        <v>04/20/2023</v>
      </c>
      <c r="H7" s="4" t="str">
        <f t="shared" si="2"/>
        <v>6/2/1994</v>
      </c>
      <c r="I7" s="4" t="str">
        <f t="shared" si="3"/>
        <v>Gold</v>
      </c>
      <c r="J7" s="4" t="str">
        <f t="shared" si="4"/>
        <v>White</v>
      </c>
    </row>
    <row r="8" ht="14.25" customHeight="1">
      <c r="A8" s="1" t="s">
        <v>540</v>
      </c>
      <c r="B8" s="1" t="s">
        <v>197</v>
      </c>
      <c r="C8" s="1" t="s">
        <v>7</v>
      </c>
      <c r="D8" s="1" t="s">
        <v>13</v>
      </c>
      <c r="F8" s="1" t="str">
        <f>IFERROR(__xludf.DUMMYFUNCTION("""COMPUTED_VALUE"""),"604416")</f>
        <v>604416</v>
      </c>
      <c r="G8" s="4" t="str">
        <f t="shared" si="1"/>
        <v>04/24/2023</v>
      </c>
      <c r="H8" s="4" t="str">
        <f t="shared" si="2"/>
        <v>6/29/2004</v>
      </c>
      <c r="I8" s="4" t="str">
        <f t="shared" si="3"/>
        <v>Gold</v>
      </c>
      <c r="J8" s="4" t="str">
        <f t="shared" si="4"/>
        <v>Other</v>
      </c>
    </row>
    <row r="9" ht="14.25" customHeight="1">
      <c r="A9" s="1" t="s">
        <v>540</v>
      </c>
      <c r="B9" s="1" t="s">
        <v>197</v>
      </c>
      <c r="C9" s="1" t="s">
        <v>5</v>
      </c>
      <c r="D9" s="1" t="s">
        <v>541</v>
      </c>
      <c r="F9" s="1" t="str">
        <f>IFERROR(__xludf.DUMMYFUNCTION("""COMPUTED_VALUE"""),"656794")</f>
        <v>656794</v>
      </c>
      <c r="G9" s="4" t="str">
        <f t="shared" si="1"/>
        <v>04/10/2023</v>
      </c>
      <c r="H9" s="4" t="str">
        <f t="shared" si="2"/>
        <v>10/21/1951</v>
      </c>
      <c r="I9" s="4" t="str">
        <f t="shared" si="3"/>
        <v>Basic</v>
      </c>
      <c r="J9" s="4" t="str">
        <f t="shared" si="4"/>
        <v>Other</v>
      </c>
    </row>
    <row r="10" ht="14.25" customHeight="1">
      <c r="A10" s="1" t="s">
        <v>540</v>
      </c>
      <c r="B10" s="1" t="s">
        <v>197</v>
      </c>
      <c r="C10" s="1" t="s">
        <v>6</v>
      </c>
      <c r="D10" s="1" t="s">
        <v>21</v>
      </c>
      <c r="F10" s="1" t="str">
        <f>IFERROR(__xludf.DUMMYFUNCTION("""COMPUTED_VALUE"""),"954550")</f>
        <v>954550</v>
      </c>
      <c r="G10" s="4" t="str">
        <f t="shared" si="1"/>
        <v>04/8/2023</v>
      </c>
      <c r="H10" s="4" t="str">
        <f t="shared" si="2"/>
        <v>1/23/1953</v>
      </c>
      <c r="I10" s="4" t="str">
        <f t="shared" si="3"/>
        <v>Gold</v>
      </c>
      <c r="J10" s="4" t="str">
        <f t="shared" si="4"/>
        <v>Black</v>
      </c>
    </row>
    <row r="11" ht="14.25" customHeight="1">
      <c r="A11" s="1" t="s">
        <v>542</v>
      </c>
      <c r="B11" s="1" t="s">
        <v>292</v>
      </c>
      <c r="C11" s="1" t="s">
        <v>7</v>
      </c>
      <c r="D11" s="1" t="s">
        <v>19</v>
      </c>
      <c r="F11" s="1" t="str">
        <f>IFERROR(__xludf.DUMMYFUNCTION("""COMPUTED_VALUE"""),"255005")</f>
        <v>255005</v>
      </c>
      <c r="G11" s="4" t="str">
        <f t="shared" si="1"/>
        <v>04/8/2023</v>
      </c>
      <c r="H11" s="4" t="str">
        <f t="shared" si="2"/>
        <v>1/4/1941</v>
      </c>
      <c r="I11" s="4" t="str">
        <f t="shared" si="3"/>
        <v>Basic</v>
      </c>
      <c r="J11" s="4" t="str">
        <f t="shared" si="4"/>
        <v>White</v>
      </c>
    </row>
    <row r="12" ht="14.25" customHeight="1">
      <c r="A12" s="1" t="s">
        <v>542</v>
      </c>
      <c r="B12" s="1" t="s">
        <v>292</v>
      </c>
      <c r="C12" s="1" t="s">
        <v>5</v>
      </c>
      <c r="D12" s="1" t="s">
        <v>543</v>
      </c>
      <c r="F12" s="1" t="str">
        <f>IFERROR(__xludf.DUMMYFUNCTION("""COMPUTED_VALUE"""),"104185")</f>
        <v>104185</v>
      </c>
      <c r="G12" s="4" t="str">
        <f t="shared" si="1"/>
        <v>04/25/2023</v>
      </c>
      <c r="H12" s="4" t="str">
        <f t="shared" si="2"/>
        <v>6/8/1989</v>
      </c>
      <c r="I12" s="4" t="str">
        <f t="shared" si="3"/>
        <v>Basic</v>
      </c>
      <c r="J12" s="4" t="str">
        <f t="shared" si="4"/>
        <v>White</v>
      </c>
    </row>
    <row r="13" ht="14.25" customHeight="1">
      <c r="A13" s="1" t="s">
        <v>542</v>
      </c>
      <c r="B13" s="1" t="s">
        <v>292</v>
      </c>
      <c r="C13" s="1" t="s">
        <v>6</v>
      </c>
      <c r="D13" s="1" t="s">
        <v>15</v>
      </c>
      <c r="F13" s="1" t="str">
        <f>IFERROR(__xludf.DUMMYFUNCTION("""COMPUTED_VALUE"""),"637023")</f>
        <v>637023</v>
      </c>
      <c r="G13" s="4" t="str">
        <f t="shared" si="1"/>
        <v>04/3/2023</v>
      </c>
      <c r="H13" s="4" t="str">
        <f t="shared" si="2"/>
        <v>11/23/1953</v>
      </c>
      <c r="I13" s="4" t="str">
        <f t="shared" si="3"/>
        <v>Platinum</v>
      </c>
      <c r="J13" s="4" t="str">
        <f t="shared" si="4"/>
        <v>Black</v>
      </c>
    </row>
    <row r="14" ht="14.25" customHeight="1">
      <c r="A14" s="1" t="s">
        <v>544</v>
      </c>
      <c r="B14" s="1" t="s">
        <v>194</v>
      </c>
      <c r="C14" s="1" t="s">
        <v>7</v>
      </c>
      <c r="D14" s="1" t="s">
        <v>13</v>
      </c>
      <c r="F14" s="1" t="str">
        <f>IFERROR(__xludf.DUMMYFUNCTION("""COMPUTED_VALUE"""),"184178")</f>
        <v>184178</v>
      </c>
      <c r="G14" s="4" t="str">
        <f t="shared" si="1"/>
        <v>04/9/2023</v>
      </c>
      <c r="H14" s="4" t="str">
        <f t="shared" si="2"/>
        <v>10/29/1958</v>
      </c>
      <c r="I14" s="4" t="str">
        <f t="shared" si="3"/>
        <v>Basic</v>
      </c>
      <c r="J14" s="4" t="str">
        <f t="shared" si="4"/>
        <v>Asian</v>
      </c>
    </row>
    <row r="15" ht="14.25" customHeight="1">
      <c r="A15" s="1" t="s">
        <v>544</v>
      </c>
      <c r="B15" s="1" t="s">
        <v>194</v>
      </c>
      <c r="C15" s="1" t="s">
        <v>5</v>
      </c>
      <c r="D15" s="1" t="s">
        <v>545</v>
      </c>
      <c r="F15" s="1" t="str">
        <f>IFERROR(__xludf.DUMMYFUNCTION("""COMPUTED_VALUE"""),"708191")</f>
        <v>708191</v>
      </c>
      <c r="G15" s="4" t="str">
        <f t="shared" si="1"/>
        <v>04/12/2023</v>
      </c>
      <c r="H15" s="4" t="str">
        <f t="shared" si="2"/>
        <v>6/30/1974</v>
      </c>
      <c r="I15" s="4" t="str">
        <f t="shared" si="3"/>
        <v>Basic</v>
      </c>
      <c r="J15" s="4" t="str">
        <f t="shared" si="4"/>
        <v>White</v>
      </c>
    </row>
    <row r="16" ht="14.25" customHeight="1">
      <c r="A16" s="1" t="s">
        <v>544</v>
      </c>
      <c r="B16" s="1" t="s">
        <v>194</v>
      </c>
      <c r="C16" s="1" t="s">
        <v>6</v>
      </c>
      <c r="D16" s="1" t="s">
        <v>11</v>
      </c>
      <c r="F16" s="1" t="str">
        <f>IFERROR(__xludf.DUMMYFUNCTION("""COMPUTED_VALUE"""),"805246")</f>
        <v>805246</v>
      </c>
      <c r="G16" s="4" t="str">
        <f t="shared" si="1"/>
        <v>04/16/2023</v>
      </c>
      <c r="H16" s="4" t="str">
        <f t="shared" si="2"/>
        <v>7/20/1971</v>
      </c>
      <c r="I16" s="4" t="str">
        <f t="shared" si="3"/>
        <v>Gold</v>
      </c>
      <c r="J16" s="4" t="str">
        <f t="shared" si="4"/>
        <v>Asian</v>
      </c>
    </row>
    <row r="17" ht="14.25" customHeight="1">
      <c r="A17" s="1" t="s">
        <v>546</v>
      </c>
      <c r="B17" s="1" t="s">
        <v>182</v>
      </c>
      <c r="C17" s="1" t="s">
        <v>7</v>
      </c>
      <c r="D17" s="1" t="s">
        <v>13</v>
      </c>
      <c r="F17" s="1" t="str">
        <f>IFERROR(__xludf.DUMMYFUNCTION("""COMPUTED_VALUE"""),"340059")</f>
        <v>340059</v>
      </c>
      <c r="G17" s="4" t="str">
        <f t="shared" si="1"/>
        <v>04/6/2023</v>
      </c>
      <c r="H17" s="4" t="str">
        <f t="shared" si="2"/>
        <v>1/24/2004</v>
      </c>
      <c r="I17" s="4" t="str">
        <f t="shared" si="3"/>
        <v>Basic</v>
      </c>
      <c r="J17" s="4" t="str">
        <f t="shared" si="4"/>
        <v>White</v>
      </c>
    </row>
    <row r="18" ht="14.25" customHeight="1">
      <c r="A18" s="1" t="s">
        <v>546</v>
      </c>
      <c r="B18" s="1" t="s">
        <v>182</v>
      </c>
      <c r="C18" s="1" t="s">
        <v>5</v>
      </c>
      <c r="D18" s="1" t="s">
        <v>547</v>
      </c>
      <c r="F18" s="1" t="str">
        <f>IFERROR(__xludf.DUMMYFUNCTION("""COMPUTED_VALUE"""),"458824")</f>
        <v>458824</v>
      </c>
      <c r="G18" s="4" t="str">
        <f t="shared" si="1"/>
        <v>04/19/2023</v>
      </c>
      <c r="H18" s="4" t="str">
        <f t="shared" si="2"/>
        <v>8/3/1967</v>
      </c>
      <c r="I18" s="4" t="str">
        <f t="shared" si="3"/>
        <v>Basic</v>
      </c>
      <c r="J18" s="4" t="str">
        <f t="shared" si="4"/>
        <v>Asian</v>
      </c>
    </row>
    <row r="19" ht="14.25" customHeight="1">
      <c r="A19" s="1" t="s">
        <v>546</v>
      </c>
      <c r="B19" s="1" t="s">
        <v>182</v>
      </c>
      <c r="C19" s="1" t="s">
        <v>6</v>
      </c>
      <c r="D19" s="1" t="s">
        <v>15</v>
      </c>
      <c r="F19" s="1" t="str">
        <f>IFERROR(__xludf.DUMMYFUNCTION("""COMPUTED_VALUE"""),"873760")</f>
        <v>873760</v>
      </c>
      <c r="G19" s="4" t="str">
        <f t="shared" si="1"/>
        <v>04/26/2023</v>
      </c>
      <c r="H19" s="4" t="str">
        <f t="shared" si="2"/>
        <v>12/31/1980</v>
      </c>
      <c r="I19" s="4" t="str">
        <f t="shared" si="3"/>
        <v>Gold</v>
      </c>
      <c r="J19" s="4" t="str">
        <f t="shared" si="4"/>
        <v>White</v>
      </c>
    </row>
    <row r="20" ht="14.25" customHeight="1">
      <c r="A20" s="1" t="s">
        <v>548</v>
      </c>
      <c r="B20" s="1" t="s">
        <v>239</v>
      </c>
      <c r="C20" s="1" t="s">
        <v>7</v>
      </c>
      <c r="D20" s="1" t="s">
        <v>9</v>
      </c>
      <c r="F20" s="1" t="str">
        <f>IFERROR(__xludf.DUMMYFUNCTION("""COMPUTED_VALUE"""),"134047")</f>
        <v>134047</v>
      </c>
      <c r="G20" s="4" t="str">
        <f t="shared" si="1"/>
        <v>04/8/2023</v>
      </c>
      <c r="H20" s="4" t="str">
        <f t="shared" si="2"/>
        <v>4/6/1959</v>
      </c>
      <c r="I20" s="4" t="str">
        <f t="shared" si="3"/>
        <v>Basic</v>
      </c>
      <c r="J20" s="4" t="str">
        <f t="shared" si="4"/>
        <v>Black</v>
      </c>
    </row>
    <row r="21" ht="14.25" customHeight="1">
      <c r="A21" s="1" t="s">
        <v>548</v>
      </c>
      <c r="B21" s="1" t="s">
        <v>239</v>
      </c>
      <c r="C21" s="1" t="s">
        <v>5</v>
      </c>
      <c r="D21" s="1" t="s">
        <v>549</v>
      </c>
      <c r="F21" s="1" t="str">
        <f>IFERROR(__xludf.DUMMYFUNCTION("""COMPUTED_VALUE"""),"327751")</f>
        <v>327751</v>
      </c>
      <c r="G21" s="4" t="str">
        <f t="shared" si="1"/>
        <v>04/27/2023</v>
      </c>
      <c r="H21" s="4" t="str">
        <f t="shared" si="2"/>
        <v>4/26/1984</v>
      </c>
      <c r="I21" s="4" t="str">
        <f t="shared" si="3"/>
        <v>Platinum</v>
      </c>
      <c r="J21" s="4" t="str">
        <f t="shared" si="4"/>
        <v>Asian</v>
      </c>
    </row>
    <row r="22" ht="14.25" customHeight="1">
      <c r="A22" s="1" t="s">
        <v>548</v>
      </c>
      <c r="B22" s="1" t="s">
        <v>239</v>
      </c>
      <c r="C22" s="1" t="s">
        <v>6</v>
      </c>
      <c r="D22" s="1" t="s">
        <v>15</v>
      </c>
      <c r="F22" s="1" t="str">
        <f>IFERROR(__xludf.DUMMYFUNCTION("""COMPUTED_VALUE"""),"302917")</f>
        <v>302917</v>
      </c>
      <c r="G22" s="4" t="str">
        <f t="shared" si="1"/>
        <v>04/24/2023</v>
      </c>
      <c r="H22" s="4" t="str">
        <f t="shared" si="2"/>
        <v>5/3/1955</v>
      </c>
      <c r="I22" s="4" t="str">
        <f t="shared" si="3"/>
        <v>Gold</v>
      </c>
      <c r="J22" s="4" t="str">
        <f t="shared" si="4"/>
        <v>Other</v>
      </c>
    </row>
    <row r="23" ht="14.25" customHeight="1">
      <c r="A23" s="1" t="s">
        <v>550</v>
      </c>
      <c r="B23" s="1" t="s">
        <v>233</v>
      </c>
      <c r="C23" s="1" t="s">
        <v>7</v>
      </c>
      <c r="D23" s="1" t="s">
        <v>9</v>
      </c>
      <c r="F23" s="1" t="str">
        <f>IFERROR(__xludf.DUMMYFUNCTION("""COMPUTED_VALUE"""),"824009")</f>
        <v>824009</v>
      </c>
      <c r="G23" s="4" t="str">
        <f t="shared" si="1"/>
        <v>04/27/2023</v>
      </c>
      <c r="H23" s="4" t="str">
        <f t="shared" si="2"/>
        <v>3/27/1989</v>
      </c>
      <c r="I23" s="4" t="str">
        <f t="shared" si="3"/>
        <v>Platinum</v>
      </c>
      <c r="J23" s="4" t="str">
        <f t="shared" si="4"/>
        <v>Black</v>
      </c>
    </row>
    <row r="24" ht="14.25" customHeight="1">
      <c r="A24" s="1" t="s">
        <v>550</v>
      </c>
      <c r="B24" s="1" t="s">
        <v>233</v>
      </c>
      <c r="C24" s="1" t="s">
        <v>5</v>
      </c>
      <c r="D24" s="1" t="s">
        <v>551</v>
      </c>
      <c r="F24" s="1" t="str">
        <f>IFERROR(__xludf.DUMMYFUNCTION("""COMPUTED_VALUE"""),"731240")</f>
        <v>731240</v>
      </c>
      <c r="G24" s="4" t="str">
        <f t="shared" si="1"/>
        <v>04/4/2023</v>
      </c>
      <c r="H24" s="4" t="str">
        <f t="shared" si="2"/>
        <v>5/8/1951</v>
      </c>
      <c r="I24" s="4" t="str">
        <f t="shared" si="3"/>
        <v>Gold</v>
      </c>
      <c r="J24" s="4" t="str">
        <f t="shared" si="4"/>
        <v>Other</v>
      </c>
    </row>
    <row r="25" ht="14.25" customHeight="1">
      <c r="A25" s="1" t="s">
        <v>550</v>
      </c>
      <c r="B25" s="1" t="s">
        <v>233</v>
      </c>
      <c r="C25" s="1" t="s">
        <v>6</v>
      </c>
      <c r="D25" s="1" t="s">
        <v>21</v>
      </c>
      <c r="F25" s="1" t="str">
        <f>IFERROR(__xludf.DUMMYFUNCTION("""COMPUTED_VALUE"""),"727292")</f>
        <v>727292</v>
      </c>
      <c r="G25" s="4" t="str">
        <f t="shared" si="1"/>
        <v>04/11/2023</v>
      </c>
      <c r="H25" s="4" t="str">
        <f t="shared" si="2"/>
        <v>1/13/1984</v>
      </c>
      <c r="I25" s="4" t="str">
        <f t="shared" si="3"/>
        <v>Gold</v>
      </c>
      <c r="J25" s="4" t="str">
        <f t="shared" si="4"/>
        <v>Black</v>
      </c>
    </row>
    <row r="26" ht="14.25" customHeight="1">
      <c r="A26" s="1" t="s">
        <v>552</v>
      </c>
      <c r="B26" s="1" t="s">
        <v>191</v>
      </c>
      <c r="C26" s="1" t="s">
        <v>7</v>
      </c>
      <c r="D26" s="1" t="s">
        <v>25</v>
      </c>
      <c r="F26" s="1" t="str">
        <f>IFERROR(__xludf.DUMMYFUNCTION("""COMPUTED_VALUE"""),"385704")</f>
        <v>385704</v>
      </c>
      <c r="G26" s="4" t="str">
        <f t="shared" si="1"/>
        <v>04/24/2023</v>
      </c>
      <c r="H26" s="4" t="str">
        <f t="shared" si="2"/>
        <v>1/1/1987</v>
      </c>
      <c r="I26" s="4" t="str">
        <f t="shared" si="3"/>
        <v>Basic</v>
      </c>
      <c r="J26" s="4" t="str">
        <f t="shared" si="4"/>
        <v>White</v>
      </c>
    </row>
    <row r="27" ht="14.25" customHeight="1">
      <c r="A27" s="1" t="s">
        <v>552</v>
      </c>
      <c r="B27" s="1" t="s">
        <v>191</v>
      </c>
      <c r="C27" s="1" t="s">
        <v>5</v>
      </c>
      <c r="D27" s="1" t="s">
        <v>553</v>
      </c>
      <c r="F27" s="1" t="str">
        <f>IFERROR(__xludf.DUMMYFUNCTION("""COMPUTED_VALUE"""),"367467")</f>
        <v>367467</v>
      </c>
      <c r="G27" s="4" t="str">
        <f t="shared" si="1"/>
        <v>04/30/2023</v>
      </c>
      <c r="H27" s="4" t="str">
        <f t="shared" si="2"/>
        <v>1/24/2019</v>
      </c>
      <c r="I27" s="4" t="str">
        <f t="shared" si="3"/>
        <v>Platinum</v>
      </c>
      <c r="J27" s="4" t="str">
        <f t="shared" si="4"/>
        <v>Asian</v>
      </c>
    </row>
    <row r="28" ht="14.25" customHeight="1">
      <c r="A28" s="1" t="s">
        <v>552</v>
      </c>
      <c r="B28" s="1" t="s">
        <v>191</v>
      </c>
      <c r="C28" s="1" t="s">
        <v>6</v>
      </c>
      <c r="D28" s="1" t="s">
        <v>15</v>
      </c>
      <c r="F28" s="1" t="str">
        <f>IFERROR(__xludf.DUMMYFUNCTION("""COMPUTED_VALUE"""),"748215")</f>
        <v>748215</v>
      </c>
      <c r="G28" s="4" t="str">
        <f t="shared" si="1"/>
        <v>04/25/2023</v>
      </c>
      <c r="H28" s="4" t="str">
        <f t="shared" si="2"/>
        <v>5/1/2013</v>
      </c>
      <c r="I28" s="4" t="str">
        <f t="shared" si="3"/>
        <v>Gold</v>
      </c>
      <c r="J28" s="4" t="str">
        <f t="shared" si="4"/>
        <v>Black</v>
      </c>
    </row>
    <row r="29" ht="14.25" customHeight="1">
      <c r="A29" s="1" t="s">
        <v>554</v>
      </c>
      <c r="B29" s="1" t="s">
        <v>191</v>
      </c>
      <c r="C29" s="1" t="s">
        <v>7</v>
      </c>
      <c r="D29" s="1" t="s">
        <v>13</v>
      </c>
      <c r="F29" s="1" t="str">
        <f>IFERROR(__xludf.DUMMYFUNCTION("""COMPUTED_VALUE"""),"549509")</f>
        <v>549509</v>
      </c>
      <c r="G29" s="4" t="str">
        <f t="shared" si="1"/>
        <v>04/2/2023</v>
      </c>
      <c r="H29" s="4" t="str">
        <f t="shared" si="2"/>
        <v>4/13/1970</v>
      </c>
      <c r="I29" s="4" t="str">
        <f t="shared" si="3"/>
        <v>Gold</v>
      </c>
      <c r="J29" s="4" t="str">
        <f t="shared" si="4"/>
        <v>White</v>
      </c>
    </row>
    <row r="30" ht="14.25" customHeight="1">
      <c r="A30" s="1" t="s">
        <v>554</v>
      </c>
      <c r="B30" s="1" t="s">
        <v>191</v>
      </c>
      <c r="C30" s="1" t="s">
        <v>5</v>
      </c>
      <c r="D30" s="1" t="s">
        <v>555</v>
      </c>
      <c r="F30" s="1" t="str">
        <f>IFERROR(__xludf.DUMMYFUNCTION("""COMPUTED_VALUE"""),"856901")</f>
        <v>856901</v>
      </c>
      <c r="G30" s="4" t="str">
        <f t="shared" si="1"/>
        <v>04/2/2023</v>
      </c>
      <c r="H30" s="4" t="str">
        <f t="shared" si="2"/>
        <v>10/21/1941</v>
      </c>
      <c r="I30" s="4" t="str">
        <f t="shared" si="3"/>
        <v>Basic</v>
      </c>
      <c r="J30" s="4" t="str">
        <f t="shared" si="4"/>
        <v>Other</v>
      </c>
    </row>
    <row r="31" ht="14.25" customHeight="1">
      <c r="A31" s="1" t="s">
        <v>554</v>
      </c>
      <c r="B31" s="1" t="s">
        <v>191</v>
      </c>
      <c r="C31" s="1" t="s">
        <v>6</v>
      </c>
      <c r="D31" s="1" t="s">
        <v>21</v>
      </c>
      <c r="F31" s="1" t="str">
        <f>IFERROR(__xludf.DUMMYFUNCTION("""COMPUTED_VALUE"""),"614858")</f>
        <v>614858</v>
      </c>
      <c r="G31" s="4" t="str">
        <f t="shared" si="1"/>
        <v>04/10/2023</v>
      </c>
      <c r="H31" s="4" t="str">
        <f t="shared" si="2"/>
        <v>3/24/1977</v>
      </c>
      <c r="I31" s="4" t="str">
        <f t="shared" si="3"/>
        <v>Basic</v>
      </c>
      <c r="J31" s="4" t="str">
        <f t="shared" si="4"/>
        <v>Other</v>
      </c>
    </row>
    <row r="32" ht="14.25" customHeight="1">
      <c r="A32" s="1" t="s">
        <v>556</v>
      </c>
      <c r="B32" s="1" t="s">
        <v>208</v>
      </c>
      <c r="C32" s="1" t="s">
        <v>7</v>
      </c>
      <c r="D32" s="1" t="s">
        <v>13</v>
      </c>
      <c r="F32" s="1" t="str">
        <f>IFERROR(__xludf.DUMMYFUNCTION("""COMPUTED_VALUE"""),"130206")</f>
        <v>130206</v>
      </c>
      <c r="G32" s="4" t="str">
        <f t="shared" si="1"/>
        <v>04/10/2023</v>
      </c>
      <c r="H32" s="4" t="str">
        <f t="shared" si="2"/>
        <v>3/19/1972</v>
      </c>
      <c r="I32" s="4" t="str">
        <f t="shared" si="3"/>
        <v>Gold</v>
      </c>
      <c r="J32" s="4" t="str">
        <f t="shared" si="4"/>
        <v>Asian</v>
      </c>
    </row>
    <row r="33" ht="14.25" customHeight="1">
      <c r="A33" s="1" t="s">
        <v>556</v>
      </c>
      <c r="B33" s="1" t="s">
        <v>208</v>
      </c>
      <c r="C33" s="1" t="s">
        <v>5</v>
      </c>
      <c r="D33" s="1" t="s">
        <v>557</v>
      </c>
      <c r="F33" s="1" t="str">
        <f>IFERROR(__xludf.DUMMYFUNCTION("""COMPUTED_VALUE"""),"553320")</f>
        <v>553320</v>
      </c>
      <c r="G33" s="4" t="str">
        <f t="shared" si="1"/>
        <v>04/13/2023</v>
      </c>
      <c r="H33" s="4" t="str">
        <f t="shared" si="2"/>
        <v>3/19/1952</v>
      </c>
      <c r="I33" s="4" t="str">
        <f t="shared" si="3"/>
        <v>Gold</v>
      </c>
      <c r="J33" s="4" t="str">
        <f t="shared" si="4"/>
        <v>Asian</v>
      </c>
    </row>
    <row r="34" ht="14.25" customHeight="1">
      <c r="A34" s="1" t="s">
        <v>556</v>
      </c>
      <c r="B34" s="1" t="s">
        <v>208</v>
      </c>
      <c r="C34" s="1" t="s">
        <v>6</v>
      </c>
      <c r="D34" s="1" t="s">
        <v>21</v>
      </c>
      <c r="F34" s="1" t="str">
        <f>IFERROR(__xludf.DUMMYFUNCTION("""COMPUTED_VALUE"""),"285157")</f>
        <v>285157</v>
      </c>
      <c r="G34" s="4" t="str">
        <f t="shared" si="1"/>
        <v>04/21/2023</v>
      </c>
      <c r="H34" s="4" t="str">
        <f t="shared" si="2"/>
        <v>1/16/2010</v>
      </c>
      <c r="I34" s="4" t="str">
        <f t="shared" si="3"/>
        <v>Gold</v>
      </c>
      <c r="J34" s="4" t="str">
        <f t="shared" si="4"/>
        <v>Asian</v>
      </c>
    </row>
    <row r="35" ht="14.25" customHeight="1">
      <c r="A35" s="1" t="s">
        <v>558</v>
      </c>
      <c r="B35" s="1" t="s">
        <v>292</v>
      </c>
      <c r="C35" s="1" t="s">
        <v>7</v>
      </c>
      <c r="D35" s="1" t="s">
        <v>25</v>
      </c>
      <c r="F35" s="1" t="str">
        <f>IFERROR(__xludf.DUMMYFUNCTION("""COMPUTED_VALUE"""),"478687")</f>
        <v>478687</v>
      </c>
      <c r="G35" s="4" t="str">
        <f t="shared" si="1"/>
        <v>04/5/2023</v>
      </c>
      <c r="H35" s="4" t="str">
        <f t="shared" si="2"/>
        <v>5/13/1999</v>
      </c>
      <c r="I35" s="4" t="str">
        <f t="shared" si="3"/>
        <v>Platinum</v>
      </c>
      <c r="J35" s="4" t="str">
        <f t="shared" si="4"/>
        <v>White</v>
      </c>
    </row>
    <row r="36" ht="14.25" customHeight="1">
      <c r="A36" s="1" t="s">
        <v>558</v>
      </c>
      <c r="B36" s="1" t="s">
        <v>292</v>
      </c>
      <c r="C36" s="1" t="s">
        <v>5</v>
      </c>
      <c r="D36" s="1" t="s">
        <v>559</v>
      </c>
      <c r="F36" s="1" t="str">
        <f>IFERROR(__xludf.DUMMYFUNCTION("""COMPUTED_VALUE"""),"911471")</f>
        <v>911471</v>
      </c>
      <c r="G36" s="4" t="str">
        <f t="shared" si="1"/>
        <v>04/5/2023</v>
      </c>
      <c r="H36" s="4" t="str">
        <f t="shared" si="2"/>
        <v>1/11/2007</v>
      </c>
      <c r="I36" s="4" t="str">
        <f t="shared" si="3"/>
        <v>Basic</v>
      </c>
      <c r="J36" s="4" t="str">
        <f t="shared" si="4"/>
        <v>White</v>
      </c>
    </row>
    <row r="37" ht="14.25" customHeight="1">
      <c r="A37" s="1" t="s">
        <v>558</v>
      </c>
      <c r="B37" s="1" t="s">
        <v>292</v>
      </c>
      <c r="C37" s="1" t="s">
        <v>6</v>
      </c>
      <c r="D37" s="1" t="s">
        <v>11</v>
      </c>
      <c r="F37" s="1" t="str">
        <f>IFERROR(__xludf.DUMMYFUNCTION("""COMPUTED_VALUE"""),"402150")</f>
        <v>402150</v>
      </c>
      <c r="G37" s="4" t="str">
        <f t="shared" si="1"/>
        <v>04/19/2023</v>
      </c>
      <c r="H37" s="4" t="str">
        <f t="shared" si="2"/>
        <v>10/14/1970</v>
      </c>
      <c r="I37" s="4" t="str">
        <f t="shared" si="3"/>
        <v>Platinum</v>
      </c>
      <c r="J37" s="4" t="str">
        <f t="shared" si="4"/>
        <v>Other</v>
      </c>
    </row>
    <row r="38" ht="14.25" customHeight="1">
      <c r="A38" s="1" t="s">
        <v>560</v>
      </c>
      <c r="B38" s="1" t="s">
        <v>197</v>
      </c>
      <c r="C38" s="1" t="s">
        <v>7</v>
      </c>
      <c r="D38" s="1" t="s">
        <v>19</v>
      </c>
      <c r="F38" s="1" t="str">
        <f>IFERROR(__xludf.DUMMYFUNCTION("""COMPUTED_VALUE"""),"919470")</f>
        <v>919470</v>
      </c>
      <c r="G38" s="4" t="str">
        <f t="shared" si="1"/>
        <v>04/27/2023</v>
      </c>
      <c r="H38" s="4" t="str">
        <f t="shared" si="2"/>
        <v>10/9/1949</v>
      </c>
      <c r="I38" s="4" t="str">
        <f t="shared" si="3"/>
        <v>Basic</v>
      </c>
      <c r="J38" s="4" t="str">
        <f t="shared" si="4"/>
        <v>Other</v>
      </c>
    </row>
    <row r="39" ht="14.25" customHeight="1">
      <c r="A39" s="1" t="s">
        <v>560</v>
      </c>
      <c r="B39" s="1" t="s">
        <v>197</v>
      </c>
      <c r="C39" s="1" t="s">
        <v>5</v>
      </c>
      <c r="D39" s="1" t="s">
        <v>561</v>
      </c>
      <c r="F39" s="1" t="str">
        <f>IFERROR(__xludf.DUMMYFUNCTION("""COMPUTED_VALUE"""),"654694")</f>
        <v>654694</v>
      </c>
      <c r="G39" s="4" t="str">
        <f t="shared" si="1"/>
        <v>04/30/2023</v>
      </c>
      <c r="H39" s="4" t="str">
        <f t="shared" si="2"/>
        <v>8/13/1985</v>
      </c>
      <c r="I39" s="4" t="str">
        <f t="shared" si="3"/>
        <v>Platinum</v>
      </c>
      <c r="J39" s="4" t="str">
        <f t="shared" si="4"/>
        <v>Other</v>
      </c>
    </row>
    <row r="40" ht="14.25" customHeight="1">
      <c r="A40" s="1" t="s">
        <v>560</v>
      </c>
      <c r="B40" s="1" t="s">
        <v>197</v>
      </c>
      <c r="C40" s="1" t="s">
        <v>6</v>
      </c>
      <c r="D40" s="1" t="s">
        <v>21</v>
      </c>
      <c r="F40" s="1" t="str">
        <f>IFERROR(__xludf.DUMMYFUNCTION("""COMPUTED_VALUE"""),"984067")</f>
        <v>984067</v>
      </c>
      <c r="G40" s="4" t="str">
        <f t="shared" si="1"/>
        <v>04/22/2023</v>
      </c>
      <c r="H40" s="4" t="str">
        <f t="shared" si="2"/>
        <v>4/9/1958</v>
      </c>
      <c r="I40" s="4" t="str">
        <f t="shared" si="3"/>
        <v>Basic</v>
      </c>
      <c r="J40" s="4" t="str">
        <f t="shared" si="4"/>
        <v>Black</v>
      </c>
    </row>
    <row r="41" ht="14.25" customHeight="1">
      <c r="A41" s="1" t="s">
        <v>562</v>
      </c>
      <c r="B41" s="1" t="s">
        <v>324</v>
      </c>
      <c r="C41" s="1" t="s">
        <v>7</v>
      </c>
      <c r="D41" s="1" t="s">
        <v>13</v>
      </c>
      <c r="F41" s="1" t="str">
        <f>IFERROR(__xludf.DUMMYFUNCTION("""COMPUTED_VALUE"""),"871141")</f>
        <v>871141</v>
      </c>
      <c r="G41" s="4" t="str">
        <f t="shared" si="1"/>
        <v>04/16/2023</v>
      </c>
      <c r="H41" s="4" t="str">
        <f t="shared" si="2"/>
        <v>2/24/1944</v>
      </c>
      <c r="I41" s="4" t="str">
        <f t="shared" si="3"/>
        <v>Basic</v>
      </c>
      <c r="J41" s="4" t="str">
        <f t="shared" si="4"/>
        <v>Other</v>
      </c>
    </row>
    <row r="42" ht="14.25" customHeight="1">
      <c r="A42" s="1" t="s">
        <v>562</v>
      </c>
      <c r="B42" s="1" t="s">
        <v>324</v>
      </c>
      <c r="C42" s="1" t="s">
        <v>5</v>
      </c>
      <c r="D42" s="1" t="s">
        <v>563</v>
      </c>
      <c r="F42" s="1" t="str">
        <f>IFERROR(__xludf.DUMMYFUNCTION("""COMPUTED_VALUE"""),"638662")</f>
        <v>638662</v>
      </c>
      <c r="G42" s="4" t="str">
        <f t="shared" si="1"/>
        <v>04/5/2023</v>
      </c>
      <c r="H42" s="4" t="str">
        <f t="shared" si="2"/>
        <v>3/4/2008</v>
      </c>
      <c r="I42" s="4" t="str">
        <f t="shared" si="3"/>
        <v>Basic</v>
      </c>
      <c r="J42" s="4" t="str">
        <f t="shared" si="4"/>
        <v>Black</v>
      </c>
    </row>
    <row r="43" ht="14.25" customHeight="1">
      <c r="A43" s="1" t="s">
        <v>562</v>
      </c>
      <c r="B43" s="1" t="s">
        <v>324</v>
      </c>
      <c r="C43" s="1" t="s">
        <v>6</v>
      </c>
      <c r="D43" s="1" t="s">
        <v>21</v>
      </c>
      <c r="F43" s="1" t="str">
        <f>IFERROR(__xludf.DUMMYFUNCTION("""COMPUTED_VALUE"""),"460507")</f>
        <v>460507</v>
      </c>
      <c r="G43" s="4" t="str">
        <f t="shared" si="1"/>
        <v>04/28/2023</v>
      </c>
      <c r="H43" s="4" t="str">
        <f t="shared" si="2"/>
        <v>10/28/1945</v>
      </c>
      <c r="I43" s="4" t="str">
        <f t="shared" si="3"/>
        <v>Platinum</v>
      </c>
      <c r="J43" s="4" t="str">
        <f t="shared" si="4"/>
        <v>White</v>
      </c>
    </row>
    <row r="44" ht="14.25" customHeight="1">
      <c r="A44" s="1" t="s">
        <v>564</v>
      </c>
      <c r="B44" s="1" t="s">
        <v>249</v>
      </c>
      <c r="C44" s="1" t="s">
        <v>7</v>
      </c>
      <c r="D44" s="1" t="s">
        <v>19</v>
      </c>
      <c r="F44" s="1" t="str">
        <f>IFERROR(__xludf.DUMMYFUNCTION("""COMPUTED_VALUE"""),"467374")</f>
        <v>467374</v>
      </c>
      <c r="G44" s="4" t="str">
        <f t="shared" si="1"/>
        <v>04/24/2023</v>
      </c>
      <c r="H44" s="4" t="str">
        <f t="shared" si="2"/>
        <v>1/3/2006</v>
      </c>
      <c r="I44" s="4" t="str">
        <f t="shared" si="3"/>
        <v>Gold</v>
      </c>
      <c r="J44" s="4" t="str">
        <f t="shared" si="4"/>
        <v>Black</v>
      </c>
    </row>
    <row r="45" ht="14.25" customHeight="1">
      <c r="A45" s="1" t="s">
        <v>564</v>
      </c>
      <c r="B45" s="1" t="s">
        <v>249</v>
      </c>
      <c r="C45" s="1" t="s">
        <v>5</v>
      </c>
      <c r="D45" s="1" t="s">
        <v>565</v>
      </c>
      <c r="F45" s="1" t="str">
        <f>IFERROR(__xludf.DUMMYFUNCTION("""COMPUTED_VALUE"""),"431328")</f>
        <v>431328</v>
      </c>
      <c r="G45" s="4" t="str">
        <f t="shared" si="1"/>
        <v>04/27/2023</v>
      </c>
      <c r="H45" s="4" t="str">
        <f t="shared" si="2"/>
        <v>5/30/1970</v>
      </c>
      <c r="I45" s="4" t="str">
        <f t="shared" si="3"/>
        <v>Platinum</v>
      </c>
      <c r="J45" s="4" t="str">
        <f t="shared" si="4"/>
        <v>Black</v>
      </c>
    </row>
    <row r="46" ht="14.25" customHeight="1">
      <c r="A46" s="1" t="s">
        <v>564</v>
      </c>
      <c r="B46" s="1" t="s">
        <v>249</v>
      </c>
      <c r="C46" s="1" t="s">
        <v>6</v>
      </c>
      <c r="D46" s="1" t="s">
        <v>15</v>
      </c>
      <c r="F46" s="1" t="str">
        <f>IFERROR(__xludf.DUMMYFUNCTION("""COMPUTED_VALUE"""),"166090")</f>
        <v>166090</v>
      </c>
      <c r="G46" s="4" t="str">
        <f t="shared" si="1"/>
        <v>04/1/2023</v>
      </c>
      <c r="H46" s="4" t="str">
        <f t="shared" si="2"/>
        <v>2/4/2016</v>
      </c>
      <c r="I46" s="4" t="str">
        <f t="shared" si="3"/>
        <v>Platinum</v>
      </c>
      <c r="J46" s="4" t="str">
        <f t="shared" si="4"/>
        <v>Black</v>
      </c>
    </row>
    <row r="47" ht="14.25" customHeight="1">
      <c r="A47" s="1" t="s">
        <v>566</v>
      </c>
      <c r="B47" s="1" t="s">
        <v>194</v>
      </c>
      <c r="C47" s="1" t="s">
        <v>7</v>
      </c>
      <c r="D47" s="1" t="s">
        <v>13</v>
      </c>
      <c r="F47" s="1" t="str">
        <f>IFERROR(__xludf.DUMMYFUNCTION("""COMPUTED_VALUE"""),"506688")</f>
        <v>506688</v>
      </c>
      <c r="G47" s="4" t="str">
        <f t="shared" si="1"/>
        <v>04/29/2023</v>
      </c>
      <c r="H47" s="4" t="str">
        <f t="shared" si="2"/>
        <v>9/29/2015</v>
      </c>
      <c r="I47" s="4" t="str">
        <f t="shared" si="3"/>
        <v>Gold</v>
      </c>
      <c r="J47" s="4" t="str">
        <f t="shared" si="4"/>
        <v>Asian</v>
      </c>
    </row>
    <row r="48" ht="14.25" customHeight="1">
      <c r="A48" s="1" t="s">
        <v>566</v>
      </c>
      <c r="B48" s="1" t="s">
        <v>194</v>
      </c>
      <c r="C48" s="1" t="s">
        <v>5</v>
      </c>
      <c r="D48" s="1" t="s">
        <v>567</v>
      </c>
      <c r="F48" s="1" t="str">
        <f>IFERROR(__xludf.DUMMYFUNCTION("""COMPUTED_VALUE"""),"675627")</f>
        <v>675627</v>
      </c>
      <c r="G48" s="4" t="str">
        <f t="shared" si="1"/>
        <v>04/18/2023</v>
      </c>
      <c r="H48" s="4" t="str">
        <f t="shared" si="2"/>
        <v>8/17/1968</v>
      </c>
      <c r="I48" s="4" t="str">
        <f t="shared" si="3"/>
        <v>Gold</v>
      </c>
      <c r="J48" s="4" t="str">
        <f t="shared" si="4"/>
        <v>Other</v>
      </c>
    </row>
    <row r="49" ht="14.25" customHeight="1">
      <c r="A49" s="1" t="s">
        <v>566</v>
      </c>
      <c r="B49" s="1" t="s">
        <v>194</v>
      </c>
      <c r="C49" s="1" t="s">
        <v>6</v>
      </c>
      <c r="D49" s="1" t="s">
        <v>21</v>
      </c>
      <c r="F49" s="1" t="str">
        <f>IFERROR(__xludf.DUMMYFUNCTION("""COMPUTED_VALUE"""),"771144")</f>
        <v>771144</v>
      </c>
      <c r="G49" s="4" t="str">
        <f t="shared" si="1"/>
        <v>04/8/2023</v>
      </c>
      <c r="H49" s="4" t="str">
        <f t="shared" si="2"/>
        <v>10/21/1962</v>
      </c>
      <c r="I49" s="4" t="str">
        <f t="shared" si="3"/>
        <v>Basic</v>
      </c>
      <c r="J49" s="4" t="str">
        <f t="shared" si="4"/>
        <v>Asian</v>
      </c>
    </row>
    <row r="50" ht="14.25" customHeight="1">
      <c r="A50" s="1" t="s">
        <v>568</v>
      </c>
      <c r="B50" s="1" t="s">
        <v>381</v>
      </c>
      <c r="C50" s="1" t="s">
        <v>7</v>
      </c>
      <c r="D50" s="1" t="s">
        <v>19</v>
      </c>
      <c r="F50" s="1" t="str">
        <f>IFERROR(__xludf.DUMMYFUNCTION("""COMPUTED_VALUE"""),"991305")</f>
        <v>991305</v>
      </c>
      <c r="G50" s="4" t="str">
        <f t="shared" si="1"/>
        <v>04/16/2023</v>
      </c>
      <c r="H50" s="4" t="str">
        <f t="shared" si="2"/>
        <v>10/30/1986</v>
      </c>
      <c r="I50" s="4" t="str">
        <f t="shared" si="3"/>
        <v>Platinum</v>
      </c>
      <c r="J50" s="4" t="str">
        <f t="shared" si="4"/>
        <v>Other</v>
      </c>
    </row>
    <row r="51" ht="14.25" customHeight="1">
      <c r="A51" s="1" t="s">
        <v>568</v>
      </c>
      <c r="B51" s="1" t="s">
        <v>381</v>
      </c>
      <c r="C51" s="1" t="s">
        <v>5</v>
      </c>
      <c r="D51" s="1" t="s">
        <v>569</v>
      </c>
      <c r="F51" s="1" t="str">
        <f>IFERROR(__xludf.DUMMYFUNCTION("""COMPUTED_VALUE"""),"663516")</f>
        <v>663516</v>
      </c>
      <c r="G51" s="4" t="str">
        <f t="shared" si="1"/>
        <v>04/25/2023</v>
      </c>
      <c r="H51" s="4" t="str">
        <f t="shared" si="2"/>
        <v>11/7/1996</v>
      </c>
      <c r="I51" s="4" t="str">
        <f t="shared" si="3"/>
        <v>Gold</v>
      </c>
      <c r="J51" s="4" t="str">
        <f t="shared" si="4"/>
        <v>Other</v>
      </c>
    </row>
    <row r="52" ht="14.25" customHeight="1">
      <c r="A52" s="1" t="s">
        <v>568</v>
      </c>
      <c r="B52" s="1" t="s">
        <v>381</v>
      </c>
      <c r="C52" s="1" t="s">
        <v>6</v>
      </c>
      <c r="D52" s="1" t="s">
        <v>21</v>
      </c>
      <c r="F52" s="1" t="str">
        <f>IFERROR(__xludf.DUMMYFUNCTION("""COMPUTED_VALUE"""),"514864")</f>
        <v>514864</v>
      </c>
      <c r="G52" s="4" t="str">
        <f t="shared" si="1"/>
        <v>04/24/2023</v>
      </c>
      <c r="H52" s="4" t="str">
        <f t="shared" si="2"/>
        <v>2/19/1965</v>
      </c>
      <c r="I52" s="4" t="str">
        <f t="shared" si="3"/>
        <v>Platinum</v>
      </c>
      <c r="J52" s="4" t="str">
        <f t="shared" si="4"/>
        <v>Other</v>
      </c>
    </row>
    <row r="53" ht="14.25" customHeight="1">
      <c r="A53" s="1" t="s">
        <v>570</v>
      </c>
      <c r="B53" s="1" t="s">
        <v>230</v>
      </c>
      <c r="C53" s="1" t="s">
        <v>7</v>
      </c>
      <c r="D53" s="1" t="s">
        <v>13</v>
      </c>
      <c r="F53" s="1" t="str">
        <f>IFERROR(__xludf.DUMMYFUNCTION("""COMPUTED_VALUE"""),"595739")</f>
        <v>595739</v>
      </c>
      <c r="G53" s="4" t="str">
        <f t="shared" si="1"/>
        <v>04/9/2023</v>
      </c>
      <c r="H53" s="4" t="str">
        <f t="shared" si="2"/>
        <v>6/18/1997</v>
      </c>
      <c r="I53" s="4" t="str">
        <f t="shared" si="3"/>
        <v>Platinum</v>
      </c>
      <c r="J53" s="4" t="str">
        <f t="shared" si="4"/>
        <v>White</v>
      </c>
    </row>
    <row r="54" ht="14.25" customHeight="1">
      <c r="A54" s="1" t="s">
        <v>570</v>
      </c>
      <c r="B54" s="1" t="s">
        <v>230</v>
      </c>
      <c r="C54" s="1" t="s">
        <v>5</v>
      </c>
      <c r="D54" s="1" t="s">
        <v>571</v>
      </c>
      <c r="F54" s="1" t="str">
        <f>IFERROR(__xludf.DUMMYFUNCTION("""COMPUTED_VALUE"""),"285940")</f>
        <v>285940</v>
      </c>
      <c r="G54" s="4" t="str">
        <f t="shared" si="1"/>
        <v>04/2/2023</v>
      </c>
      <c r="H54" s="4" t="str">
        <f t="shared" si="2"/>
        <v>6/3/2017</v>
      </c>
      <c r="I54" s="4" t="str">
        <f t="shared" si="3"/>
        <v>Platinum</v>
      </c>
      <c r="J54" s="4" t="str">
        <f t="shared" si="4"/>
        <v>Black</v>
      </c>
    </row>
    <row r="55" ht="14.25" customHeight="1">
      <c r="A55" s="1" t="s">
        <v>570</v>
      </c>
      <c r="B55" s="1" t="s">
        <v>230</v>
      </c>
      <c r="C55" s="1" t="s">
        <v>6</v>
      </c>
      <c r="D55" s="1" t="s">
        <v>15</v>
      </c>
      <c r="F55" s="1" t="str">
        <f>IFERROR(__xludf.DUMMYFUNCTION("""COMPUTED_VALUE"""),"982585")</f>
        <v>982585</v>
      </c>
      <c r="G55" s="4" t="str">
        <f t="shared" si="1"/>
        <v>04/11/2023</v>
      </c>
      <c r="H55" s="4" t="str">
        <f t="shared" si="2"/>
        <v>2/7/2016</v>
      </c>
      <c r="I55" s="4" t="str">
        <f t="shared" si="3"/>
        <v>Gold</v>
      </c>
      <c r="J55" s="4" t="str">
        <f t="shared" si="4"/>
        <v>Black</v>
      </c>
    </row>
    <row r="56" ht="14.25" customHeight="1">
      <c r="A56" s="1" t="s">
        <v>572</v>
      </c>
      <c r="B56" s="1" t="s">
        <v>191</v>
      </c>
      <c r="C56" s="1" t="s">
        <v>7</v>
      </c>
      <c r="D56" s="1" t="s">
        <v>25</v>
      </c>
      <c r="F56" s="1" t="str">
        <f>IFERROR(__xludf.DUMMYFUNCTION("""COMPUTED_VALUE"""),"101515")</f>
        <v>101515</v>
      </c>
      <c r="G56" s="4" t="str">
        <f t="shared" si="1"/>
        <v>04/14/2023</v>
      </c>
      <c r="H56" s="4" t="str">
        <f t="shared" si="2"/>
        <v>8/11/1974</v>
      </c>
      <c r="I56" s="4" t="str">
        <f t="shared" si="3"/>
        <v>Gold</v>
      </c>
      <c r="J56" s="4" t="str">
        <f t="shared" si="4"/>
        <v>Black</v>
      </c>
    </row>
    <row r="57" ht="14.25" customHeight="1">
      <c r="A57" s="1" t="s">
        <v>572</v>
      </c>
      <c r="B57" s="1" t="s">
        <v>191</v>
      </c>
      <c r="C57" s="1" t="s">
        <v>5</v>
      </c>
      <c r="D57" s="1" t="s">
        <v>573</v>
      </c>
      <c r="F57" s="1" t="str">
        <f>IFERROR(__xludf.DUMMYFUNCTION("""COMPUTED_VALUE"""),"908478")</f>
        <v>908478</v>
      </c>
      <c r="G57" s="4" t="str">
        <f t="shared" si="1"/>
        <v>04/25/2023</v>
      </c>
      <c r="H57" s="4" t="str">
        <f t="shared" si="2"/>
        <v>10/5/1941</v>
      </c>
      <c r="I57" s="4" t="str">
        <f t="shared" si="3"/>
        <v>Gold</v>
      </c>
      <c r="J57" s="4" t="str">
        <f t="shared" si="4"/>
        <v>Asian</v>
      </c>
    </row>
    <row r="58" ht="14.25" customHeight="1">
      <c r="A58" s="1" t="s">
        <v>572</v>
      </c>
      <c r="B58" s="1" t="s">
        <v>191</v>
      </c>
      <c r="C58" s="1" t="s">
        <v>6</v>
      </c>
      <c r="D58" s="1" t="s">
        <v>21</v>
      </c>
      <c r="F58" s="1" t="str">
        <f>IFERROR(__xludf.DUMMYFUNCTION("""COMPUTED_VALUE"""),"976803")</f>
        <v>976803</v>
      </c>
      <c r="G58" s="4" t="str">
        <f t="shared" si="1"/>
        <v>04/14/2023</v>
      </c>
      <c r="H58" s="4" t="str">
        <f t="shared" si="2"/>
        <v>7/11/1940</v>
      </c>
      <c r="I58" s="4" t="str">
        <f t="shared" si="3"/>
        <v>Platinum</v>
      </c>
      <c r="J58" s="4" t="str">
        <f t="shared" si="4"/>
        <v>Black</v>
      </c>
    </row>
    <row r="59" ht="14.25" customHeight="1">
      <c r="A59" s="1" t="s">
        <v>574</v>
      </c>
      <c r="B59" s="1" t="s">
        <v>203</v>
      </c>
      <c r="C59" s="1" t="s">
        <v>7</v>
      </c>
      <c r="D59" s="1" t="s">
        <v>19</v>
      </c>
      <c r="F59" s="1" t="str">
        <f>IFERROR(__xludf.DUMMYFUNCTION("""COMPUTED_VALUE"""),"394262")</f>
        <v>394262</v>
      </c>
      <c r="G59" s="4" t="str">
        <f t="shared" si="1"/>
        <v>04/6/2023</v>
      </c>
      <c r="H59" s="4" t="str">
        <f t="shared" si="2"/>
        <v>8/29/1961</v>
      </c>
      <c r="I59" s="4" t="str">
        <f t="shared" si="3"/>
        <v>Basic</v>
      </c>
      <c r="J59" s="4" t="str">
        <f t="shared" si="4"/>
        <v>Other</v>
      </c>
    </row>
    <row r="60" ht="14.25" customHeight="1">
      <c r="A60" s="1" t="s">
        <v>574</v>
      </c>
      <c r="B60" s="1" t="s">
        <v>203</v>
      </c>
      <c r="C60" s="1" t="s">
        <v>5</v>
      </c>
      <c r="D60" s="1" t="s">
        <v>575</v>
      </c>
      <c r="F60" s="1" t="str">
        <f>IFERROR(__xludf.DUMMYFUNCTION("""COMPUTED_VALUE"""),"372488")</f>
        <v>372488</v>
      </c>
      <c r="G60" s="4" t="str">
        <f t="shared" si="1"/>
        <v>04/20/2023</v>
      </c>
      <c r="H60" s="4" t="str">
        <f t="shared" si="2"/>
        <v>7/13/1974</v>
      </c>
      <c r="I60" s="4" t="str">
        <f t="shared" si="3"/>
        <v>Basic</v>
      </c>
      <c r="J60" s="4" t="str">
        <f t="shared" si="4"/>
        <v>Other</v>
      </c>
    </row>
    <row r="61" ht="14.25" customHeight="1">
      <c r="A61" s="1" t="s">
        <v>574</v>
      </c>
      <c r="B61" s="1" t="s">
        <v>203</v>
      </c>
      <c r="C61" s="1" t="s">
        <v>6</v>
      </c>
      <c r="D61" s="1" t="s">
        <v>11</v>
      </c>
      <c r="F61" s="1" t="str">
        <f>IFERROR(__xludf.DUMMYFUNCTION("""COMPUTED_VALUE"""),"915339")</f>
        <v>915339</v>
      </c>
      <c r="G61" s="4" t="str">
        <f t="shared" si="1"/>
        <v>04/28/2023</v>
      </c>
      <c r="H61" s="4" t="str">
        <f t="shared" si="2"/>
        <v>5/7/1997</v>
      </c>
      <c r="I61" s="4" t="str">
        <f t="shared" si="3"/>
        <v>Gold</v>
      </c>
      <c r="J61" s="4" t="str">
        <f t="shared" si="4"/>
        <v>White</v>
      </c>
    </row>
    <row r="62" ht="14.25" customHeight="1">
      <c r="A62" s="1" t="s">
        <v>576</v>
      </c>
      <c r="B62" s="1" t="s">
        <v>239</v>
      </c>
      <c r="C62" s="1" t="s">
        <v>7</v>
      </c>
      <c r="D62" s="1" t="s">
        <v>9</v>
      </c>
      <c r="F62" s="1" t="str">
        <f>IFERROR(__xludf.DUMMYFUNCTION("""COMPUTED_VALUE"""),"687501")</f>
        <v>687501</v>
      </c>
      <c r="G62" s="4" t="str">
        <f t="shared" si="1"/>
        <v>04/6/2023</v>
      </c>
      <c r="H62" s="4" t="str">
        <f t="shared" si="2"/>
        <v>8/21/1976</v>
      </c>
      <c r="I62" s="4" t="str">
        <f t="shared" si="3"/>
        <v>Platinum</v>
      </c>
      <c r="J62" s="4" t="str">
        <f t="shared" si="4"/>
        <v>Black</v>
      </c>
    </row>
    <row r="63" ht="14.25" customHeight="1">
      <c r="A63" s="1" t="s">
        <v>576</v>
      </c>
      <c r="B63" s="1" t="s">
        <v>239</v>
      </c>
      <c r="C63" s="1" t="s">
        <v>5</v>
      </c>
      <c r="D63" s="1" t="s">
        <v>577</v>
      </c>
      <c r="F63" s="1" t="str">
        <f>IFERROR(__xludf.DUMMYFUNCTION("""COMPUTED_VALUE"""),"181477")</f>
        <v>181477</v>
      </c>
      <c r="G63" s="4" t="str">
        <f t="shared" si="1"/>
        <v>04/12/2023</v>
      </c>
      <c r="H63" s="4" t="str">
        <f t="shared" si="2"/>
        <v>8/22/1984</v>
      </c>
      <c r="I63" s="4" t="str">
        <f t="shared" si="3"/>
        <v>Gold</v>
      </c>
      <c r="J63" s="4" t="str">
        <f t="shared" si="4"/>
        <v>Black</v>
      </c>
    </row>
    <row r="64" ht="14.25" customHeight="1">
      <c r="A64" s="1" t="s">
        <v>576</v>
      </c>
      <c r="B64" s="1" t="s">
        <v>239</v>
      </c>
      <c r="C64" s="1" t="s">
        <v>6</v>
      </c>
      <c r="D64" s="1" t="s">
        <v>15</v>
      </c>
      <c r="F64" s="1" t="str">
        <f>IFERROR(__xludf.DUMMYFUNCTION("""COMPUTED_VALUE"""),"594866")</f>
        <v>594866</v>
      </c>
      <c r="G64" s="4" t="str">
        <f t="shared" si="1"/>
        <v>04/7/2023</v>
      </c>
      <c r="H64" s="4" t="str">
        <f t="shared" si="2"/>
        <v>8/19/2004</v>
      </c>
      <c r="I64" s="4" t="str">
        <f t="shared" si="3"/>
        <v>Gold</v>
      </c>
      <c r="J64" s="4" t="str">
        <f t="shared" si="4"/>
        <v>White</v>
      </c>
    </row>
    <row r="65" ht="14.25" customHeight="1">
      <c r="A65" s="1" t="s">
        <v>578</v>
      </c>
      <c r="B65" s="1" t="s">
        <v>203</v>
      </c>
      <c r="C65" s="1" t="s">
        <v>7</v>
      </c>
      <c r="D65" s="1" t="s">
        <v>25</v>
      </c>
      <c r="F65" s="1" t="str">
        <f>IFERROR(__xludf.DUMMYFUNCTION("""COMPUTED_VALUE"""),"347274")</f>
        <v>347274</v>
      </c>
      <c r="G65" s="4" t="str">
        <f t="shared" si="1"/>
        <v>04/9/2023</v>
      </c>
      <c r="H65" s="4" t="str">
        <f t="shared" si="2"/>
        <v>6/17/1993</v>
      </c>
      <c r="I65" s="4" t="str">
        <f t="shared" si="3"/>
        <v>Basic</v>
      </c>
      <c r="J65" s="4" t="str">
        <f t="shared" si="4"/>
        <v>Black</v>
      </c>
    </row>
    <row r="66" ht="14.25" customHeight="1">
      <c r="A66" s="1" t="s">
        <v>578</v>
      </c>
      <c r="B66" s="1" t="s">
        <v>203</v>
      </c>
      <c r="C66" s="1" t="s">
        <v>5</v>
      </c>
      <c r="D66" s="1" t="s">
        <v>579</v>
      </c>
      <c r="F66" s="1" t="str">
        <f>IFERROR(__xludf.DUMMYFUNCTION("""COMPUTED_VALUE"""),"405909")</f>
        <v>405909</v>
      </c>
      <c r="G66" s="4" t="str">
        <f t="shared" si="1"/>
        <v>04/13/2023</v>
      </c>
      <c r="H66" s="4" t="str">
        <f t="shared" si="2"/>
        <v>8/27/1979</v>
      </c>
      <c r="I66" s="4" t="str">
        <f t="shared" si="3"/>
        <v>Platinum</v>
      </c>
      <c r="J66" s="4" t="str">
        <f t="shared" si="4"/>
        <v>Asian</v>
      </c>
    </row>
    <row r="67" ht="14.25" customHeight="1">
      <c r="A67" s="1" t="s">
        <v>578</v>
      </c>
      <c r="B67" s="1" t="s">
        <v>203</v>
      </c>
      <c r="C67" s="1" t="s">
        <v>6</v>
      </c>
      <c r="D67" s="1" t="s">
        <v>11</v>
      </c>
      <c r="F67" s="1" t="str">
        <f>IFERROR(__xludf.DUMMYFUNCTION("""COMPUTED_VALUE"""),"284005")</f>
        <v>284005</v>
      </c>
      <c r="G67" s="4" t="str">
        <f t="shared" si="1"/>
        <v>04/5/2023</v>
      </c>
      <c r="H67" s="4" t="str">
        <f t="shared" si="2"/>
        <v>7/2/1992</v>
      </c>
      <c r="I67" s="4" t="str">
        <f t="shared" si="3"/>
        <v>Basic</v>
      </c>
      <c r="J67" s="4" t="str">
        <f t="shared" si="4"/>
        <v>Asian</v>
      </c>
    </row>
    <row r="68" ht="14.25" customHeight="1">
      <c r="A68" s="1" t="s">
        <v>580</v>
      </c>
      <c r="B68" s="1" t="s">
        <v>310</v>
      </c>
      <c r="C68" s="1" t="s">
        <v>7</v>
      </c>
      <c r="D68" s="1" t="s">
        <v>9</v>
      </c>
      <c r="F68" s="1" t="str">
        <f>IFERROR(__xludf.DUMMYFUNCTION("""COMPUTED_VALUE"""),"287844")</f>
        <v>287844</v>
      </c>
      <c r="G68" s="4" t="str">
        <f t="shared" si="1"/>
        <v>04/8/2023</v>
      </c>
      <c r="H68" s="4" t="str">
        <f t="shared" si="2"/>
        <v>2/15/1952</v>
      </c>
      <c r="I68" s="4" t="str">
        <f t="shared" si="3"/>
        <v>Basic</v>
      </c>
      <c r="J68" s="4" t="str">
        <f t="shared" si="4"/>
        <v>Other</v>
      </c>
    </row>
    <row r="69" ht="14.25" customHeight="1">
      <c r="A69" s="1" t="s">
        <v>580</v>
      </c>
      <c r="B69" s="1" t="s">
        <v>310</v>
      </c>
      <c r="C69" s="1" t="s">
        <v>5</v>
      </c>
      <c r="D69" s="1" t="s">
        <v>581</v>
      </c>
      <c r="F69" s="1" t="str">
        <f>IFERROR(__xludf.DUMMYFUNCTION("""COMPUTED_VALUE"""),"881176")</f>
        <v>881176</v>
      </c>
      <c r="G69" s="4" t="str">
        <f t="shared" si="1"/>
        <v>04/25/2023</v>
      </c>
      <c r="H69" s="4" t="str">
        <f t="shared" si="2"/>
        <v>1/18/1979</v>
      </c>
      <c r="I69" s="4" t="str">
        <f t="shared" si="3"/>
        <v>Basic</v>
      </c>
      <c r="J69" s="4" t="str">
        <f t="shared" si="4"/>
        <v>Other</v>
      </c>
    </row>
    <row r="70" ht="14.25" customHeight="1">
      <c r="A70" s="1" t="s">
        <v>580</v>
      </c>
      <c r="B70" s="1" t="s">
        <v>310</v>
      </c>
      <c r="C70" s="1" t="s">
        <v>6</v>
      </c>
      <c r="D70" s="1" t="s">
        <v>15</v>
      </c>
      <c r="F70" s="1" t="str">
        <f>IFERROR(__xludf.DUMMYFUNCTION("""COMPUTED_VALUE"""),"530288")</f>
        <v>530288</v>
      </c>
      <c r="G70" s="4" t="str">
        <f t="shared" si="1"/>
        <v>04/4/2023</v>
      </c>
      <c r="H70" s="4" t="str">
        <f t="shared" si="2"/>
        <v>8/24/1966</v>
      </c>
      <c r="I70" s="4" t="str">
        <f t="shared" si="3"/>
        <v>Platinum</v>
      </c>
      <c r="J70" s="4" t="str">
        <f t="shared" si="4"/>
        <v>Black</v>
      </c>
    </row>
    <row r="71" ht="14.25" customHeight="1">
      <c r="A71" s="1" t="s">
        <v>582</v>
      </c>
      <c r="B71" s="1" t="s">
        <v>317</v>
      </c>
      <c r="C71" s="1" t="s">
        <v>7</v>
      </c>
      <c r="D71" s="1" t="s">
        <v>25</v>
      </c>
      <c r="F71" s="1" t="str">
        <f>IFERROR(__xludf.DUMMYFUNCTION("""COMPUTED_VALUE"""),"421873")</f>
        <v>421873</v>
      </c>
      <c r="G71" s="4" t="str">
        <f t="shared" si="1"/>
        <v>04/13/2023</v>
      </c>
      <c r="H71" s="4" t="str">
        <f t="shared" si="2"/>
        <v>5/8/1969</v>
      </c>
      <c r="I71" s="4" t="str">
        <f t="shared" si="3"/>
        <v>Gold</v>
      </c>
      <c r="J71" s="4" t="str">
        <f t="shared" si="4"/>
        <v>Other</v>
      </c>
    </row>
    <row r="72" ht="14.25" customHeight="1">
      <c r="A72" s="1" t="s">
        <v>582</v>
      </c>
      <c r="B72" s="1" t="s">
        <v>317</v>
      </c>
      <c r="C72" s="1" t="s">
        <v>5</v>
      </c>
      <c r="D72" s="1" t="s">
        <v>583</v>
      </c>
      <c r="F72" s="1" t="str">
        <f>IFERROR(__xludf.DUMMYFUNCTION("""COMPUTED_VALUE"""),"701255")</f>
        <v>701255</v>
      </c>
      <c r="G72" s="4" t="str">
        <f t="shared" si="1"/>
        <v>04/15/2023</v>
      </c>
      <c r="H72" s="4" t="str">
        <f t="shared" si="2"/>
        <v>3/22/1973</v>
      </c>
      <c r="I72" s="4" t="str">
        <f t="shared" si="3"/>
        <v>Gold</v>
      </c>
      <c r="J72" s="4" t="str">
        <f t="shared" si="4"/>
        <v>White</v>
      </c>
    </row>
    <row r="73" ht="14.25" customHeight="1">
      <c r="A73" s="1" t="s">
        <v>582</v>
      </c>
      <c r="B73" s="1" t="s">
        <v>317</v>
      </c>
      <c r="C73" s="1" t="s">
        <v>6</v>
      </c>
      <c r="D73" s="1" t="s">
        <v>15</v>
      </c>
      <c r="F73" s="1" t="str">
        <f>IFERROR(__xludf.DUMMYFUNCTION("""COMPUTED_VALUE"""),"706102")</f>
        <v>706102</v>
      </c>
      <c r="G73" s="4" t="str">
        <f t="shared" si="1"/>
        <v>04/15/2023</v>
      </c>
      <c r="H73" s="4" t="str">
        <f t="shared" si="2"/>
        <v>6/19/1958</v>
      </c>
      <c r="I73" s="4" t="str">
        <f t="shared" si="3"/>
        <v>Platinum</v>
      </c>
      <c r="J73" s="4" t="str">
        <f t="shared" si="4"/>
        <v>White</v>
      </c>
    </row>
    <row r="74" ht="14.25" customHeight="1">
      <c r="A74" s="1" t="s">
        <v>584</v>
      </c>
      <c r="B74" s="1" t="s">
        <v>239</v>
      </c>
      <c r="C74" s="1" t="s">
        <v>7</v>
      </c>
      <c r="D74" s="1" t="s">
        <v>13</v>
      </c>
      <c r="F74" s="1" t="str">
        <f>IFERROR(__xludf.DUMMYFUNCTION("""COMPUTED_VALUE"""),"226852")</f>
        <v>226852</v>
      </c>
      <c r="G74" s="4" t="str">
        <f t="shared" si="1"/>
        <v>04/14/2023</v>
      </c>
      <c r="H74" s="4" t="str">
        <f t="shared" si="2"/>
        <v>2/24/2017</v>
      </c>
      <c r="I74" s="4" t="str">
        <f t="shared" si="3"/>
        <v>Platinum</v>
      </c>
      <c r="J74" s="4" t="str">
        <f t="shared" si="4"/>
        <v>Black</v>
      </c>
    </row>
    <row r="75" ht="14.25" customHeight="1">
      <c r="A75" s="1" t="s">
        <v>584</v>
      </c>
      <c r="B75" s="1" t="s">
        <v>239</v>
      </c>
      <c r="C75" s="1" t="s">
        <v>5</v>
      </c>
      <c r="D75" s="1" t="s">
        <v>585</v>
      </c>
      <c r="F75" s="1" t="str">
        <f>IFERROR(__xludf.DUMMYFUNCTION("""COMPUTED_VALUE"""),"451214")</f>
        <v>451214</v>
      </c>
      <c r="G75" s="4" t="str">
        <f t="shared" si="1"/>
        <v>04/4/2023</v>
      </c>
      <c r="H75" s="4" t="str">
        <f t="shared" si="2"/>
        <v>4/13/1992</v>
      </c>
      <c r="I75" s="4" t="str">
        <f t="shared" si="3"/>
        <v>Platinum</v>
      </c>
      <c r="J75" s="4" t="str">
        <f t="shared" si="4"/>
        <v>White</v>
      </c>
    </row>
    <row r="76" ht="14.25" customHeight="1">
      <c r="A76" s="1" t="s">
        <v>584</v>
      </c>
      <c r="B76" s="1" t="s">
        <v>239</v>
      </c>
      <c r="C76" s="1" t="s">
        <v>6</v>
      </c>
      <c r="D76" s="1" t="s">
        <v>21</v>
      </c>
      <c r="F76" s="1" t="str">
        <f>IFERROR(__xludf.DUMMYFUNCTION("""COMPUTED_VALUE"""),"922365")</f>
        <v>922365</v>
      </c>
      <c r="G76" s="4" t="str">
        <f t="shared" si="1"/>
        <v>04/13/2023</v>
      </c>
      <c r="H76" s="4" t="str">
        <f t="shared" si="2"/>
        <v>8/11/2011</v>
      </c>
      <c r="I76" s="4" t="str">
        <f t="shared" si="3"/>
        <v>Basic</v>
      </c>
      <c r="J76" s="4" t="str">
        <f t="shared" si="4"/>
        <v>Asian</v>
      </c>
    </row>
    <row r="77" ht="14.25" customHeight="1">
      <c r="A77" s="1" t="s">
        <v>586</v>
      </c>
      <c r="B77" s="1" t="s">
        <v>472</v>
      </c>
      <c r="C77" s="1" t="s">
        <v>7</v>
      </c>
      <c r="D77" s="1" t="s">
        <v>19</v>
      </c>
      <c r="F77" s="1" t="str">
        <f>IFERROR(__xludf.DUMMYFUNCTION("""COMPUTED_VALUE"""),"656164")</f>
        <v>656164</v>
      </c>
      <c r="G77" s="4" t="str">
        <f t="shared" si="1"/>
        <v>04/2/2023</v>
      </c>
      <c r="H77" s="4" t="str">
        <f t="shared" si="2"/>
        <v>7/22/1956</v>
      </c>
      <c r="I77" s="4" t="str">
        <f t="shared" si="3"/>
        <v>Basic</v>
      </c>
      <c r="J77" s="4" t="str">
        <f t="shared" si="4"/>
        <v>Asian</v>
      </c>
    </row>
    <row r="78" ht="14.25" customHeight="1">
      <c r="A78" s="1" t="s">
        <v>586</v>
      </c>
      <c r="B78" s="1" t="s">
        <v>472</v>
      </c>
      <c r="C78" s="1" t="s">
        <v>5</v>
      </c>
      <c r="D78" s="1" t="s">
        <v>587</v>
      </c>
      <c r="F78" s="1" t="str">
        <f>IFERROR(__xludf.DUMMYFUNCTION("""COMPUTED_VALUE"""),"628443")</f>
        <v>628443</v>
      </c>
      <c r="G78" s="4" t="str">
        <f t="shared" si="1"/>
        <v>04/29/2023</v>
      </c>
      <c r="H78" s="4" t="str">
        <f t="shared" si="2"/>
        <v>6/22/1970</v>
      </c>
      <c r="I78" s="4" t="str">
        <f t="shared" si="3"/>
        <v>Platinum</v>
      </c>
      <c r="J78" s="4" t="str">
        <f t="shared" si="4"/>
        <v>Other</v>
      </c>
    </row>
    <row r="79" ht="14.25" customHeight="1">
      <c r="A79" s="1" t="s">
        <v>586</v>
      </c>
      <c r="B79" s="1" t="s">
        <v>472</v>
      </c>
      <c r="C79" s="1" t="s">
        <v>6</v>
      </c>
      <c r="D79" s="1" t="s">
        <v>11</v>
      </c>
      <c r="F79" s="1" t="str">
        <f>IFERROR(__xludf.DUMMYFUNCTION("""COMPUTED_VALUE"""),"385445")</f>
        <v>385445</v>
      </c>
      <c r="G79" s="4" t="str">
        <f t="shared" si="1"/>
        <v>04/19/2023</v>
      </c>
      <c r="H79" s="4" t="str">
        <f t="shared" si="2"/>
        <v>1/29/1957</v>
      </c>
      <c r="I79" s="4" t="str">
        <f t="shared" si="3"/>
        <v>Basic</v>
      </c>
      <c r="J79" s="4" t="str">
        <f t="shared" si="4"/>
        <v>Black</v>
      </c>
    </row>
    <row r="80" ht="14.25" customHeight="1">
      <c r="A80" s="1" t="s">
        <v>588</v>
      </c>
      <c r="B80" s="1" t="s">
        <v>208</v>
      </c>
      <c r="C80" s="1" t="s">
        <v>7</v>
      </c>
      <c r="D80" s="1" t="s">
        <v>25</v>
      </c>
      <c r="F80" s="1" t="str">
        <f>IFERROR(__xludf.DUMMYFUNCTION("""COMPUTED_VALUE"""),"382490")</f>
        <v>382490</v>
      </c>
      <c r="G80" s="4" t="str">
        <f t="shared" si="1"/>
        <v>04/28/2023</v>
      </c>
      <c r="H80" s="4" t="str">
        <f t="shared" si="2"/>
        <v>11/6/1997</v>
      </c>
      <c r="I80" s="4" t="str">
        <f t="shared" si="3"/>
        <v>Gold</v>
      </c>
      <c r="J80" s="4" t="str">
        <f t="shared" si="4"/>
        <v>Other</v>
      </c>
    </row>
    <row r="81" ht="14.25" customHeight="1">
      <c r="A81" s="1" t="s">
        <v>588</v>
      </c>
      <c r="B81" s="1" t="s">
        <v>208</v>
      </c>
      <c r="C81" s="1" t="s">
        <v>5</v>
      </c>
      <c r="D81" s="1" t="s">
        <v>589</v>
      </c>
      <c r="F81" s="1" t="str">
        <f>IFERROR(__xludf.DUMMYFUNCTION("""COMPUTED_VALUE"""),"609432")</f>
        <v>609432</v>
      </c>
      <c r="G81" s="4" t="str">
        <f t="shared" si="1"/>
        <v>04/13/2023</v>
      </c>
      <c r="H81" s="4" t="str">
        <f t="shared" si="2"/>
        <v>5/28/2009</v>
      </c>
      <c r="I81" s="4" t="str">
        <f t="shared" si="3"/>
        <v>Platinum</v>
      </c>
      <c r="J81" s="4" t="str">
        <f t="shared" si="4"/>
        <v>Other</v>
      </c>
    </row>
    <row r="82" ht="14.25" customHeight="1">
      <c r="A82" s="1" t="s">
        <v>588</v>
      </c>
      <c r="B82" s="1" t="s">
        <v>208</v>
      </c>
      <c r="C82" s="1" t="s">
        <v>6</v>
      </c>
      <c r="D82" s="1" t="s">
        <v>15</v>
      </c>
      <c r="F82" s="1" t="str">
        <f>IFERROR(__xludf.DUMMYFUNCTION("""COMPUTED_VALUE"""),"984843")</f>
        <v>984843</v>
      </c>
      <c r="G82" s="4" t="str">
        <f t="shared" si="1"/>
        <v>04/28/2023</v>
      </c>
      <c r="H82" s="4" t="str">
        <f t="shared" si="2"/>
        <v>9/23/1958</v>
      </c>
      <c r="I82" s="4" t="str">
        <f t="shared" si="3"/>
        <v>Platinum</v>
      </c>
      <c r="J82" s="4" t="str">
        <f t="shared" si="4"/>
        <v>Asian</v>
      </c>
    </row>
    <row r="83" ht="14.25" customHeight="1">
      <c r="A83" s="1" t="s">
        <v>590</v>
      </c>
      <c r="B83" s="1" t="s">
        <v>236</v>
      </c>
      <c r="C83" s="1" t="s">
        <v>7</v>
      </c>
      <c r="D83" s="1" t="s">
        <v>13</v>
      </c>
      <c r="F83" s="1" t="str">
        <f>IFERROR(__xludf.DUMMYFUNCTION("""COMPUTED_VALUE"""),"499108")</f>
        <v>499108</v>
      </c>
      <c r="G83" s="4" t="str">
        <f t="shared" si="1"/>
        <v>04/11/2023</v>
      </c>
      <c r="H83" s="4" t="str">
        <f t="shared" si="2"/>
        <v>11/21/1949</v>
      </c>
      <c r="I83" s="4" t="str">
        <f t="shared" si="3"/>
        <v>Platinum</v>
      </c>
      <c r="J83" s="4" t="str">
        <f t="shared" si="4"/>
        <v>White</v>
      </c>
    </row>
    <row r="84" ht="14.25" customHeight="1">
      <c r="A84" s="1" t="s">
        <v>590</v>
      </c>
      <c r="B84" s="1" t="s">
        <v>236</v>
      </c>
      <c r="C84" s="1" t="s">
        <v>5</v>
      </c>
      <c r="D84" s="1" t="s">
        <v>591</v>
      </c>
      <c r="F84" s="1" t="str">
        <f>IFERROR(__xludf.DUMMYFUNCTION("""COMPUTED_VALUE"""),"867196")</f>
        <v>867196</v>
      </c>
      <c r="G84" s="4" t="str">
        <f t="shared" si="1"/>
        <v>04/8/2023</v>
      </c>
      <c r="H84" s="4" t="str">
        <f t="shared" si="2"/>
        <v>6/18/1953</v>
      </c>
      <c r="I84" s="4" t="str">
        <f t="shared" si="3"/>
        <v>Basic</v>
      </c>
      <c r="J84" s="4" t="str">
        <f t="shared" si="4"/>
        <v>Other</v>
      </c>
    </row>
    <row r="85" ht="14.25" customHeight="1">
      <c r="A85" s="1" t="s">
        <v>590</v>
      </c>
      <c r="B85" s="1" t="s">
        <v>236</v>
      </c>
      <c r="C85" s="1" t="s">
        <v>6</v>
      </c>
      <c r="D85" s="1" t="s">
        <v>15</v>
      </c>
      <c r="F85" s="1" t="str">
        <f>IFERROR(__xludf.DUMMYFUNCTION("""COMPUTED_VALUE"""),"552566")</f>
        <v>552566</v>
      </c>
      <c r="G85" s="4" t="str">
        <f t="shared" si="1"/>
        <v>04/28/2023</v>
      </c>
      <c r="H85" s="4" t="str">
        <f t="shared" si="2"/>
        <v>2/4/1950</v>
      </c>
      <c r="I85" s="4" t="str">
        <f t="shared" si="3"/>
        <v>Gold</v>
      </c>
      <c r="J85" s="4" t="str">
        <f t="shared" si="4"/>
        <v>White</v>
      </c>
    </row>
    <row r="86" ht="14.25" customHeight="1">
      <c r="A86" s="1" t="s">
        <v>592</v>
      </c>
      <c r="B86" s="1" t="s">
        <v>236</v>
      </c>
      <c r="C86" s="1" t="s">
        <v>7</v>
      </c>
      <c r="D86" s="1" t="s">
        <v>9</v>
      </c>
      <c r="F86" s="1" t="str">
        <f>IFERROR(__xludf.DUMMYFUNCTION("""COMPUTED_VALUE"""),"381217")</f>
        <v>381217</v>
      </c>
      <c r="G86" s="4" t="str">
        <f t="shared" si="1"/>
        <v>04/28/2023</v>
      </c>
      <c r="H86" s="4" t="str">
        <f t="shared" si="2"/>
        <v>8/5/1962</v>
      </c>
      <c r="I86" s="4" t="str">
        <f t="shared" si="3"/>
        <v>Basic</v>
      </c>
      <c r="J86" s="4" t="str">
        <f t="shared" si="4"/>
        <v>White</v>
      </c>
    </row>
    <row r="87" ht="14.25" customHeight="1">
      <c r="A87" s="1" t="s">
        <v>592</v>
      </c>
      <c r="B87" s="1" t="s">
        <v>236</v>
      </c>
      <c r="C87" s="1" t="s">
        <v>5</v>
      </c>
      <c r="D87" s="1" t="s">
        <v>593</v>
      </c>
      <c r="F87" s="1" t="str">
        <f>IFERROR(__xludf.DUMMYFUNCTION("""COMPUTED_VALUE"""),"779629")</f>
        <v>779629</v>
      </c>
      <c r="G87" s="4" t="str">
        <f t="shared" si="1"/>
        <v>04/13/2023</v>
      </c>
      <c r="H87" s="4" t="str">
        <f t="shared" si="2"/>
        <v>6/30/1993</v>
      </c>
      <c r="I87" s="4" t="str">
        <f t="shared" si="3"/>
        <v>Platinum</v>
      </c>
      <c r="J87" s="4" t="str">
        <f t="shared" si="4"/>
        <v>White</v>
      </c>
    </row>
    <row r="88" ht="14.25" customHeight="1">
      <c r="A88" s="1" t="s">
        <v>592</v>
      </c>
      <c r="B88" s="1" t="s">
        <v>236</v>
      </c>
      <c r="C88" s="1" t="s">
        <v>6</v>
      </c>
      <c r="D88" s="1" t="s">
        <v>21</v>
      </c>
      <c r="F88" s="1" t="str">
        <f>IFERROR(__xludf.DUMMYFUNCTION("""COMPUTED_VALUE"""),"484119")</f>
        <v>484119</v>
      </c>
      <c r="G88" s="4" t="str">
        <f t="shared" si="1"/>
        <v>04/8/2023</v>
      </c>
      <c r="H88" s="4" t="str">
        <f t="shared" si="2"/>
        <v>9/30/1974</v>
      </c>
      <c r="I88" s="4" t="str">
        <f t="shared" si="3"/>
        <v>Gold</v>
      </c>
      <c r="J88" s="4" t="str">
        <f t="shared" si="4"/>
        <v>Other</v>
      </c>
    </row>
    <row r="89" ht="14.25" customHeight="1">
      <c r="A89" s="1" t="s">
        <v>594</v>
      </c>
      <c r="B89" s="1" t="s">
        <v>233</v>
      </c>
      <c r="C89" s="1" t="s">
        <v>7</v>
      </c>
      <c r="D89" s="1" t="s">
        <v>9</v>
      </c>
      <c r="F89" s="1" t="str">
        <f>IFERROR(__xludf.DUMMYFUNCTION("""COMPUTED_VALUE"""),"189566")</f>
        <v>189566</v>
      </c>
      <c r="G89" s="4" t="str">
        <f t="shared" si="1"/>
        <v>04/14/2023</v>
      </c>
      <c r="H89" s="4" t="str">
        <f t="shared" si="2"/>
        <v>9/8/1962</v>
      </c>
      <c r="I89" s="4" t="str">
        <f t="shared" si="3"/>
        <v>Basic</v>
      </c>
      <c r="J89" s="4" t="str">
        <f t="shared" si="4"/>
        <v>Other</v>
      </c>
    </row>
    <row r="90" ht="14.25" customHeight="1">
      <c r="A90" s="1" t="s">
        <v>594</v>
      </c>
      <c r="B90" s="1" t="s">
        <v>233</v>
      </c>
      <c r="C90" s="1" t="s">
        <v>5</v>
      </c>
      <c r="D90" s="1" t="s">
        <v>595</v>
      </c>
      <c r="F90" s="1" t="str">
        <f>IFERROR(__xludf.DUMMYFUNCTION("""COMPUTED_VALUE"""),"589251")</f>
        <v>589251</v>
      </c>
      <c r="G90" s="4" t="str">
        <f t="shared" si="1"/>
        <v>04/3/2023</v>
      </c>
      <c r="H90" s="4" t="str">
        <f t="shared" si="2"/>
        <v>6/1/1943</v>
      </c>
      <c r="I90" s="4" t="str">
        <f t="shared" si="3"/>
        <v>Platinum</v>
      </c>
      <c r="J90" s="4" t="str">
        <f t="shared" si="4"/>
        <v>White</v>
      </c>
    </row>
    <row r="91" ht="14.25" customHeight="1">
      <c r="A91" s="1" t="s">
        <v>594</v>
      </c>
      <c r="B91" s="1" t="s">
        <v>233</v>
      </c>
      <c r="C91" s="1" t="s">
        <v>6</v>
      </c>
      <c r="D91" s="1" t="s">
        <v>21</v>
      </c>
      <c r="F91" s="1" t="str">
        <f>IFERROR(__xludf.DUMMYFUNCTION("""COMPUTED_VALUE"""),"934663")</f>
        <v>934663</v>
      </c>
      <c r="G91" s="4" t="str">
        <f t="shared" si="1"/>
        <v>04/27/2023</v>
      </c>
      <c r="H91" s="4" t="str">
        <f t="shared" si="2"/>
        <v>1/29/1969</v>
      </c>
      <c r="I91" s="4" t="str">
        <f t="shared" si="3"/>
        <v>Basic</v>
      </c>
      <c r="J91" s="4" t="str">
        <f t="shared" si="4"/>
        <v>Black</v>
      </c>
    </row>
    <row r="92" ht="14.25" customHeight="1">
      <c r="A92" s="1" t="s">
        <v>596</v>
      </c>
      <c r="B92" s="1" t="s">
        <v>233</v>
      </c>
      <c r="C92" s="1" t="s">
        <v>7</v>
      </c>
      <c r="D92" s="1" t="s">
        <v>19</v>
      </c>
      <c r="F92" s="1" t="str">
        <f>IFERROR(__xludf.DUMMYFUNCTION("""COMPUTED_VALUE"""),"528483")</f>
        <v>528483</v>
      </c>
      <c r="G92" s="4" t="str">
        <f t="shared" si="1"/>
        <v>04/26/2023</v>
      </c>
      <c r="H92" s="4" t="str">
        <f t="shared" si="2"/>
        <v>5/3/2010</v>
      </c>
      <c r="I92" s="4" t="str">
        <f t="shared" si="3"/>
        <v>Platinum</v>
      </c>
      <c r="J92" s="4" t="str">
        <f t="shared" si="4"/>
        <v>Black</v>
      </c>
    </row>
    <row r="93" ht="14.25" customHeight="1">
      <c r="A93" s="1" t="s">
        <v>596</v>
      </c>
      <c r="B93" s="1" t="s">
        <v>233</v>
      </c>
      <c r="C93" s="1" t="s">
        <v>5</v>
      </c>
      <c r="D93" s="1" t="s">
        <v>597</v>
      </c>
      <c r="F93" s="1"/>
    </row>
    <row r="94" ht="14.25" customHeight="1">
      <c r="A94" s="1" t="s">
        <v>596</v>
      </c>
      <c r="B94" s="1" t="s">
        <v>233</v>
      </c>
      <c r="C94" s="1" t="s">
        <v>6</v>
      </c>
      <c r="D94" s="1" t="s">
        <v>15</v>
      </c>
    </row>
    <row r="95" ht="14.25" customHeight="1">
      <c r="A95" s="1" t="s">
        <v>598</v>
      </c>
      <c r="B95" s="1" t="s">
        <v>398</v>
      </c>
      <c r="C95" s="1" t="s">
        <v>7</v>
      </c>
      <c r="D95" s="1" t="s">
        <v>19</v>
      </c>
    </row>
    <row r="96" ht="14.25" customHeight="1">
      <c r="A96" s="1" t="s">
        <v>598</v>
      </c>
      <c r="B96" s="1" t="s">
        <v>398</v>
      </c>
      <c r="C96" s="1" t="s">
        <v>5</v>
      </c>
      <c r="D96" s="1" t="s">
        <v>599</v>
      </c>
    </row>
    <row r="97" ht="14.25" customHeight="1">
      <c r="A97" s="1" t="s">
        <v>598</v>
      </c>
      <c r="B97" s="1" t="s">
        <v>398</v>
      </c>
      <c r="C97" s="1" t="s">
        <v>6</v>
      </c>
      <c r="D97" s="1" t="s">
        <v>15</v>
      </c>
    </row>
    <row r="98" ht="14.25" customHeight="1">
      <c r="A98" s="1" t="s">
        <v>600</v>
      </c>
      <c r="B98" s="1" t="s">
        <v>339</v>
      </c>
      <c r="C98" s="1" t="s">
        <v>7</v>
      </c>
      <c r="D98" s="1" t="s">
        <v>19</v>
      </c>
    </row>
    <row r="99" ht="14.25" customHeight="1">
      <c r="A99" s="1" t="s">
        <v>600</v>
      </c>
      <c r="B99" s="1" t="s">
        <v>339</v>
      </c>
      <c r="C99" s="1" t="s">
        <v>5</v>
      </c>
      <c r="D99" s="1" t="s">
        <v>601</v>
      </c>
    </row>
    <row r="100" ht="14.25" customHeight="1">
      <c r="A100" s="1" t="s">
        <v>600</v>
      </c>
      <c r="B100" s="1" t="s">
        <v>339</v>
      </c>
      <c r="C100" s="1" t="s">
        <v>6</v>
      </c>
      <c r="D100" s="1" t="s">
        <v>15</v>
      </c>
    </row>
    <row r="101" ht="14.25" customHeight="1">
      <c r="A101" s="1" t="s">
        <v>602</v>
      </c>
      <c r="B101" s="1" t="s">
        <v>185</v>
      </c>
      <c r="C101" s="1" t="s">
        <v>7</v>
      </c>
      <c r="D101" s="1" t="s">
        <v>13</v>
      </c>
    </row>
    <row r="102" ht="14.25" customHeight="1">
      <c r="A102" s="1" t="s">
        <v>602</v>
      </c>
      <c r="B102" s="1" t="s">
        <v>185</v>
      </c>
      <c r="C102" s="1" t="s">
        <v>5</v>
      </c>
      <c r="D102" s="1" t="s">
        <v>603</v>
      </c>
    </row>
    <row r="103" ht="14.25" customHeight="1">
      <c r="A103" s="1" t="s">
        <v>602</v>
      </c>
      <c r="B103" s="1" t="s">
        <v>185</v>
      </c>
      <c r="C103" s="1" t="s">
        <v>6</v>
      </c>
      <c r="D103" s="1" t="s">
        <v>11</v>
      </c>
    </row>
    <row r="104" ht="14.25" customHeight="1">
      <c r="A104" s="1" t="s">
        <v>604</v>
      </c>
      <c r="B104" s="1" t="s">
        <v>185</v>
      </c>
      <c r="C104" s="1" t="s">
        <v>7</v>
      </c>
      <c r="D104" s="1" t="s">
        <v>13</v>
      </c>
    </row>
    <row r="105" ht="14.25" customHeight="1">
      <c r="A105" s="1" t="s">
        <v>604</v>
      </c>
      <c r="B105" s="1" t="s">
        <v>185</v>
      </c>
      <c r="C105" s="1" t="s">
        <v>5</v>
      </c>
      <c r="D105" s="1" t="s">
        <v>605</v>
      </c>
    </row>
    <row r="106" ht="14.25" customHeight="1">
      <c r="A106" s="1" t="s">
        <v>604</v>
      </c>
      <c r="B106" s="1" t="s">
        <v>185</v>
      </c>
      <c r="C106" s="1" t="s">
        <v>6</v>
      </c>
      <c r="D106" s="1" t="s">
        <v>21</v>
      </c>
    </row>
    <row r="107" ht="14.25" customHeight="1">
      <c r="A107" s="1" t="s">
        <v>606</v>
      </c>
      <c r="B107" s="1" t="s">
        <v>381</v>
      </c>
      <c r="C107" s="1" t="s">
        <v>7</v>
      </c>
      <c r="D107" s="1" t="s">
        <v>9</v>
      </c>
    </row>
    <row r="108" ht="14.25" customHeight="1">
      <c r="A108" s="1" t="s">
        <v>606</v>
      </c>
      <c r="B108" s="1" t="s">
        <v>381</v>
      </c>
      <c r="C108" s="1" t="s">
        <v>5</v>
      </c>
      <c r="D108" s="1" t="s">
        <v>607</v>
      </c>
    </row>
    <row r="109" ht="14.25" customHeight="1">
      <c r="A109" s="1" t="s">
        <v>606</v>
      </c>
      <c r="B109" s="1" t="s">
        <v>381</v>
      </c>
      <c r="C109" s="1" t="s">
        <v>6</v>
      </c>
      <c r="D109" s="1" t="s">
        <v>11</v>
      </c>
    </row>
    <row r="110" ht="14.25" customHeight="1">
      <c r="A110" s="1" t="s">
        <v>608</v>
      </c>
      <c r="B110" s="1" t="s">
        <v>203</v>
      </c>
      <c r="C110" s="1" t="s">
        <v>7</v>
      </c>
      <c r="D110" s="1" t="s">
        <v>9</v>
      </c>
    </row>
    <row r="111" ht="14.25" customHeight="1">
      <c r="A111" s="1" t="s">
        <v>608</v>
      </c>
      <c r="B111" s="1" t="s">
        <v>203</v>
      </c>
      <c r="C111" s="1" t="s">
        <v>5</v>
      </c>
      <c r="D111" s="1" t="s">
        <v>609</v>
      </c>
    </row>
    <row r="112" ht="14.25" customHeight="1">
      <c r="A112" s="1" t="s">
        <v>608</v>
      </c>
      <c r="B112" s="1" t="s">
        <v>203</v>
      </c>
      <c r="C112" s="1" t="s">
        <v>6</v>
      </c>
      <c r="D112" s="1" t="s">
        <v>21</v>
      </c>
    </row>
    <row r="113" ht="14.25" customHeight="1">
      <c r="A113" s="1" t="s">
        <v>610</v>
      </c>
      <c r="B113" s="1" t="s">
        <v>472</v>
      </c>
      <c r="C113" s="1" t="s">
        <v>7</v>
      </c>
      <c r="D113" s="1" t="s">
        <v>9</v>
      </c>
    </row>
    <row r="114" ht="14.25" customHeight="1">
      <c r="A114" s="1" t="s">
        <v>610</v>
      </c>
      <c r="B114" s="1" t="s">
        <v>472</v>
      </c>
      <c r="C114" s="1" t="s">
        <v>5</v>
      </c>
      <c r="D114" s="1" t="s">
        <v>611</v>
      </c>
    </row>
    <row r="115" ht="14.25" customHeight="1">
      <c r="A115" s="1" t="s">
        <v>610</v>
      </c>
      <c r="B115" s="1" t="s">
        <v>472</v>
      </c>
      <c r="C115" s="1" t="s">
        <v>6</v>
      </c>
      <c r="D115" s="1" t="s">
        <v>11</v>
      </c>
    </row>
    <row r="116" ht="14.25" customHeight="1">
      <c r="A116" s="1" t="s">
        <v>612</v>
      </c>
      <c r="B116" s="1" t="s">
        <v>273</v>
      </c>
      <c r="C116" s="1" t="s">
        <v>7</v>
      </c>
      <c r="D116" s="1" t="s">
        <v>25</v>
      </c>
    </row>
    <row r="117" ht="14.25" customHeight="1">
      <c r="A117" s="1" t="s">
        <v>612</v>
      </c>
      <c r="B117" s="1" t="s">
        <v>273</v>
      </c>
      <c r="C117" s="1" t="s">
        <v>5</v>
      </c>
      <c r="D117" s="1" t="s">
        <v>613</v>
      </c>
    </row>
    <row r="118" ht="14.25" customHeight="1">
      <c r="A118" s="1" t="s">
        <v>612</v>
      </c>
      <c r="B118" s="1" t="s">
        <v>273</v>
      </c>
      <c r="C118" s="1" t="s">
        <v>6</v>
      </c>
      <c r="D118" s="1" t="s">
        <v>21</v>
      </c>
    </row>
    <row r="119" ht="14.25" customHeight="1">
      <c r="A119" s="1" t="s">
        <v>614</v>
      </c>
      <c r="B119" s="1" t="s">
        <v>249</v>
      </c>
      <c r="C119" s="1" t="s">
        <v>7</v>
      </c>
      <c r="D119" s="1" t="s">
        <v>9</v>
      </c>
    </row>
    <row r="120" ht="14.25" customHeight="1">
      <c r="A120" s="1" t="s">
        <v>614</v>
      </c>
      <c r="B120" s="1" t="s">
        <v>249</v>
      </c>
      <c r="C120" s="1" t="s">
        <v>5</v>
      </c>
      <c r="D120" s="1" t="s">
        <v>615</v>
      </c>
    </row>
    <row r="121" ht="14.25" customHeight="1">
      <c r="A121" s="1" t="s">
        <v>614</v>
      </c>
      <c r="B121" s="1" t="s">
        <v>249</v>
      </c>
      <c r="C121" s="1" t="s">
        <v>6</v>
      </c>
      <c r="D121" s="1" t="s">
        <v>21</v>
      </c>
    </row>
    <row r="122" ht="14.25" customHeight="1">
      <c r="A122" s="1" t="s">
        <v>616</v>
      </c>
      <c r="B122" s="1" t="s">
        <v>185</v>
      </c>
      <c r="C122" s="1" t="s">
        <v>7</v>
      </c>
      <c r="D122" s="1" t="s">
        <v>25</v>
      </c>
    </row>
    <row r="123" ht="14.25" customHeight="1">
      <c r="A123" s="1" t="s">
        <v>616</v>
      </c>
      <c r="B123" s="1" t="s">
        <v>185</v>
      </c>
      <c r="C123" s="1" t="s">
        <v>5</v>
      </c>
      <c r="D123" s="1" t="s">
        <v>617</v>
      </c>
    </row>
    <row r="124" ht="14.25" customHeight="1">
      <c r="A124" s="1" t="s">
        <v>616</v>
      </c>
      <c r="B124" s="1" t="s">
        <v>185</v>
      </c>
      <c r="C124" s="1" t="s">
        <v>6</v>
      </c>
      <c r="D124" s="1" t="s">
        <v>21</v>
      </c>
    </row>
    <row r="125" ht="14.25" customHeight="1">
      <c r="A125" s="1" t="s">
        <v>618</v>
      </c>
      <c r="B125" s="1" t="s">
        <v>211</v>
      </c>
      <c r="C125" s="1" t="s">
        <v>7</v>
      </c>
      <c r="D125" s="1" t="s">
        <v>13</v>
      </c>
    </row>
    <row r="126" ht="14.25" customHeight="1">
      <c r="A126" s="1" t="s">
        <v>618</v>
      </c>
      <c r="B126" s="1" t="s">
        <v>211</v>
      </c>
      <c r="C126" s="1" t="s">
        <v>5</v>
      </c>
      <c r="D126" s="1" t="s">
        <v>619</v>
      </c>
    </row>
    <row r="127" ht="14.25" customHeight="1">
      <c r="A127" s="1" t="s">
        <v>618</v>
      </c>
      <c r="B127" s="1" t="s">
        <v>211</v>
      </c>
      <c r="C127" s="1" t="s">
        <v>6</v>
      </c>
      <c r="D127" s="1" t="s">
        <v>11</v>
      </c>
    </row>
    <row r="128" ht="14.25" customHeight="1">
      <c r="A128" s="1" t="s">
        <v>620</v>
      </c>
      <c r="B128" s="1" t="s">
        <v>239</v>
      </c>
      <c r="C128" s="1" t="s">
        <v>7</v>
      </c>
      <c r="D128" s="1" t="s">
        <v>25</v>
      </c>
    </row>
    <row r="129" ht="14.25" customHeight="1">
      <c r="A129" s="1" t="s">
        <v>620</v>
      </c>
      <c r="B129" s="1" t="s">
        <v>239</v>
      </c>
      <c r="C129" s="1" t="s">
        <v>5</v>
      </c>
      <c r="D129" s="1" t="s">
        <v>621</v>
      </c>
    </row>
    <row r="130" ht="14.25" customHeight="1">
      <c r="A130" s="1" t="s">
        <v>620</v>
      </c>
      <c r="B130" s="1" t="s">
        <v>239</v>
      </c>
      <c r="C130" s="1" t="s">
        <v>6</v>
      </c>
      <c r="D130" s="1" t="s">
        <v>15</v>
      </c>
    </row>
    <row r="131" ht="14.25" customHeight="1">
      <c r="A131" s="1" t="s">
        <v>622</v>
      </c>
      <c r="B131" s="1" t="s">
        <v>203</v>
      </c>
      <c r="C131" s="1" t="s">
        <v>7</v>
      </c>
      <c r="D131" s="1" t="s">
        <v>25</v>
      </c>
    </row>
    <row r="132" ht="14.25" customHeight="1">
      <c r="A132" s="1" t="s">
        <v>622</v>
      </c>
      <c r="B132" s="1" t="s">
        <v>203</v>
      </c>
      <c r="C132" s="1" t="s">
        <v>5</v>
      </c>
      <c r="D132" s="1" t="s">
        <v>623</v>
      </c>
    </row>
    <row r="133" ht="14.25" customHeight="1">
      <c r="A133" s="1" t="s">
        <v>622</v>
      </c>
      <c r="B133" s="1" t="s">
        <v>203</v>
      </c>
      <c r="C133" s="1" t="s">
        <v>6</v>
      </c>
      <c r="D133" s="1" t="s">
        <v>11</v>
      </c>
    </row>
    <row r="134" ht="14.25" customHeight="1">
      <c r="A134" s="1" t="s">
        <v>624</v>
      </c>
      <c r="B134" s="1" t="s">
        <v>188</v>
      </c>
      <c r="C134" s="1" t="s">
        <v>7</v>
      </c>
      <c r="D134" s="1" t="s">
        <v>25</v>
      </c>
    </row>
    <row r="135" ht="14.25" customHeight="1">
      <c r="A135" s="1" t="s">
        <v>624</v>
      </c>
      <c r="B135" s="1" t="s">
        <v>188</v>
      </c>
      <c r="C135" s="1" t="s">
        <v>5</v>
      </c>
      <c r="D135" s="1" t="s">
        <v>625</v>
      </c>
    </row>
    <row r="136" ht="14.25" customHeight="1">
      <c r="A136" s="1" t="s">
        <v>624</v>
      </c>
      <c r="B136" s="1" t="s">
        <v>188</v>
      </c>
      <c r="C136" s="1" t="s">
        <v>6</v>
      </c>
      <c r="D136" s="1" t="s">
        <v>11</v>
      </c>
    </row>
    <row r="137" ht="14.25" customHeight="1">
      <c r="A137" s="1" t="s">
        <v>626</v>
      </c>
      <c r="B137" s="1" t="s">
        <v>378</v>
      </c>
      <c r="C137" s="1" t="s">
        <v>7</v>
      </c>
      <c r="D137" s="1" t="s">
        <v>19</v>
      </c>
    </row>
    <row r="138" ht="14.25" customHeight="1">
      <c r="A138" s="1" t="s">
        <v>626</v>
      </c>
      <c r="B138" s="1" t="s">
        <v>378</v>
      </c>
      <c r="C138" s="1" t="s">
        <v>5</v>
      </c>
      <c r="D138" s="1" t="s">
        <v>627</v>
      </c>
    </row>
    <row r="139" ht="14.25" customHeight="1">
      <c r="A139" s="1" t="s">
        <v>626</v>
      </c>
      <c r="B139" s="1" t="s">
        <v>378</v>
      </c>
      <c r="C139" s="1" t="s">
        <v>6</v>
      </c>
      <c r="D139" s="1" t="s">
        <v>15</v>
      </c>
    </row>
    <row r="140" ht="14.25" customHeight="1">
      <c r="A140" s="1" t="s">
        <v>628</v>
      </c>
      <c r="B140" s="1" t="s">
        <v>200</v>
      </c>
      <c r="C140" s="1" t="s">
        <v>7</v>
      </c>
      <c r="D140" s="1" t="s">
        <v>9</v>
      </c>
    </row>
    <row r="141" ht="14.25" customHeight="1">
      <c r="A141" s="1" t="s">
        <v>628</v>
      </c>
      <c r="B141" s="1" t="s">
        <v>200</v>
      </c>
      <c r="C141" s="1" t="s">
        <v>5</v>
      </c>
      <c r="D141" s="1" t="s">
        <v>629</v>
      </c>
    </row>
    <row r="142" ht="14.25" customHeight="1">
      <c r="A142" s="1" t="s">
        <v>628</v>
      </c>
      <c r="B142" s="1" t="s">
        <v>200</v>
      </c>
      <c r="C142" s="1" t="s">
        <v>6</v>
      </c>
      <c r="D142" s="1" t="s">
        <v>15</v>
      </c>
    </row>
    <row r="143" ht="14.25" customHeight="1">
      <c r="A143" s="1" t="s">
        <v>630</v>
      </c>
      <c r="B143" s="1" t="s">
        <v>191</v>
      </c>
      <c r="C143" s="1" t="s">
        <v>7</v>
      </c>
      <c r="D143" s="1" t="s">
        <v>19</v>
      </c>
    </row>
    <row r="144" ht="14.25" customHeight="1">
      <c r="A144" s="1" t="s">
        <v>630</v>
      </c>
      <c r="B144" s="1" t="s">
        <v>191</v>
      </c>
      <c r="C144" s="1" t="s">
        <v>5</v>
      </c>
      <c r="D144" s="1" t="s">
        <v>631</v>
      </c>
    </row>
    <row r="145" ht="14.25" customHeight="1">
      <c r="A145" s="1" t="s">
        <v>630</v>
      </c>
      <c r="B145" s="1" t="s">
        <v>191</v>
      </c>
      <c r="C145" s="1" t="s">
        <v>6</v>
      </c>
      <c r="D145" s="1" t="s">
        <v>21</v>
      </c>
    </row>
    <row r="146" ht="14.25" customHeight="1">
      <c r="A146" s="1" t="s">
        <v>632</v>
      </c>
      <c r="B146" s="1" t="s">
        <v>249</v>
      </c>
      <c r="C146" s="1" t="s">
        <v>7</v>
      </c>
      <c r="D146" s="1" t="s">
        <v>9</v>
      </c>
    </row>
    <row r="147" ht="14.25" customHeight="1">
      <c r="A147" s="1" t="s">
        <v>632</v>
      </c>
      <c r="B147" s="1" t="s">
        <v>249</v>
      </c>
      <c r="C147" s="1" t="s">
        <v>5</v>
      </c>
      <c r="D147" s="1" t="s">
        <v>633</v>
      </c>
    </row>
    <row r="148" ht="14.25" customHeight="1">
      <c r="A148" s="1" t="s">
        <v>632</v>
      </c>
      <c r="B148" s="1" t="s">
        <v>249</v>
      </c>
      <c r="C148" s="1" t="s">
        <v>6</v>
      </c>
      <c r="D148" s="1" t="s">
        <v>11</v>
      </c>
    </row>
    <row r="149" ht="14.25" customHeight="1">
      <c r="A149" s="1" t="s">
        <v>634</v>
      </c>
      <c r="B149" s="1" t="s">
        <v>208</v>
      </c>
      <c r="C149" s="1" t="s">
        <v>7</v>
      </c>
      <c r="D149" s="1" t="s">
        <v>9</v>
      </c>
    </row>
    <row r="150" ht="14.25" customHeight="1">
      <c r="A150" s="1" t="s">
        <v>634</v>
      </c>
      <c r="B150" s="1" t="s">
        <v>208</v>
      </c>
      <c r="C150" s="1" t="s">
        <v>5</v>
      </c>
      <c r="D150" s="1" t="s">
        <v>635</v>
      </c>
    </row>
    <row r="151" ht="14.25" customHeight="1">
      <c r="A151" s="1" t="s">
        <v>634</v>
      </c>
      <c r="B151" s="1" t="s">
        <v>208</v>
      </c>
      <c r="C151" s="1" t="s">
        <v>6</v>
      </c>
      <c r="D151" s="1" t="s">
        <v>15</v>
      </c>
    </row>
    <row r="152" ht="14.25" customHeight="1">
      <c r="A152" s="1" t="s">
        <v>636</v>
      </c>
      <c r="B152" s="1" t="s">
        <v>239</v>
      </c>
      <c r="C152" s="1" t="s">
        <v>7</v>
      </c>
      <c r="D152" s="1" t="s">
        <v>9</v>
      </c>
    </row>
    <row r="153" ht="14.25" customHeight="1">
      <c r="A153" s="1" t="s">
        <v>636</v>
      </c>
      <c r="B153" s="1" t="s">
        <v>239</v>
      </c>
      <c r="C153" s="1" t="s">
        <v>5</v>
      </c>
      <c r="D153" s="1" t="s">
        <v>637</v>
      </c>
    </row>
    <row r="154" ht="14.25" customHeight="1">
      <c r="A154" s="1" t="s">
        <v>636</v>
      </c>
      <c r="B154" s="1" t="s">
        <v>239</v>
      </c>
      <c r="C154" s="1" t="s">
        <v>6</v>
      </c>
      <c r="D154" s="1" t="s">
        <v>11</v>
      </c>
    </row>
    <row r="155" ht="14.25" customHeight="1">
      <c r="A155" s="1" t="s">
        <v>638</v>
      </c>
      <c r="B155" s="1" t="s">
        <v>197</v>
      </c>
      <c r="C155" s="1" t="s">
        <v>7</v>
      </c>
      <c r="D155" s="1" t="s">
        <v>13</v>
      </c>
    </row>
    <row r="156" ht="14.25" customHeight="1">
      <c r="A156" s="1" t="s">
        <v>638</v>
      </c>
      <c r="B156" s="1" t="s">
        <v>197</v>
      </c>
      <c r="C156" s="1" t="s">
        <v>5</v>
      </c>
      <c r="D156" s="1" t="s">
        <v>639</v>
      </c>
    </row>
    <row r="157" ht="14.25" customHeight="1">
      <c r="A157" s="1" t="s">
        <v>638</v>
      </c>
      <c r="B157" s="1" t="s">
        <v>197</v>
      </c>
      <c r="C157" s="1" t="s">
        <v>6</v>
      </c>
      <c r="D157" s="1" t="s">
        <v>11</v>
      </c>
    </row>
    <row r="158" ht="14.25" customHeight="1">
      <c r="A158" s="1" t="s">
        <v>640</v>
      </c>
      <c r="B158" s="1" t="s">
        <v>236</v>
      </c>
      <c r="C158" s="1" t="s">
        <v>7</v>
      </c>
      <c r="D158" s="1" t="s">
        <v>25</v>
      </c>
    </row>
    <row r="159" ht="14.25" customHeight="1">
      <c r="A159" s="1" t="s">
        <v>640</v>
      </c>
      <c r="B159" s="1" t="s">
        <v>236</v>
      </c>
      <c r="C159" s="1" t="s">
        <v>5</v>
      </c>
      <c r="D159" s="1" t="s">
        <v>641</v>
      </c>
    </row>
    <row r="160" ht="14.25" customHeight="1">
      <c r="A160" s="1" t="s">
        <v>640</v>
      </c>
      <c r="B160" s="1" t="s">
        <v>236</v>
      </c>
      <c r="C160" s="1" t="s">
        <v>6</v>
      </c>
      <c r="D160" s="1" t="s">
        <v>11</v>
      </c>
    </row>
    <row r="161" ht="14.25" customHeight="1">
      <c r="A161" s="1" t="s">
        <v>642</v>
      </c>
      <c r="B161" s="1" t="s">
        <v>317</v>
      </c>
      <c r="C161" s="1" t="s">
        <v>7</v>
      </c>
      <c r="D161" s="1" t="s">
        <v>25</v>
      </c>
    </row>
    <row r="162" ht="14.25" customHeight="1">
      <c r="A162" s="1" t="s">
        <v>642</v>
      </c>
      <c r="B162" s="1" t="s">
        <v>317</v>
      </c>
      <c r="C162" s="1" t="s">
        <v>5</v>
      </c>
      <c r="D162" s="1" t="s">
        <v>643</v>
      </c>
    </row>
    <row r="163" ht="14.25" customHeight="1">
      <c r="A163" s="1" t="s">
        <v>642</v>
      </c>
      <c r="B163" s="1" t="s">
        <v>317</v>
      </c>
      <c r="C163" s="1" t="s">
        <v>6</v>
      </c>
      <c r="D163" s="1" t="s">
        <v>15</v>
      </c>
    </row>
    <row r="164" ht="14.25" customHeight="1">
      <c r="A164" s="1" t="s">
        <v>644</v>
      </c>
      <c r="B164" s="1" t="s">
        <v>214</v>
      </c>
      <c r="C164" s="1" t="s">
        <v>7</v>
      </c>
      <c r="D164" s="1" t="s">
        <v>25</v>
      </c>
    </row>
    <row r="165" ht="14.25" customHeight="1">
      <c r="A165" s="1" t="s">
        <v>644</v>
      </c>
      <c r="B165" s="1" t="s">
        <v>214</v>
      </c>
      <c r="C165" s="1" t="s">
        <v>5</v>
      </c>
      <c r="D165" s="1" t="s">
        <v>645</v>
      </c>
    </row>
    <row r="166" ht="14.25" customHeight="1">
      <c r="A166" s="1" t="s">
        <v>644</v>
      </c>
      <c r="B166" s="1" t="s">
        <v>214</v>
      </c>
      <c r="C166" s="1" t="s">
        <v>6</v>
      </c>
      <c r="D166" s="1" t="s">
        <v>15</v>
      </c>
    </row>
    <row r="167" ht="14.25" customHeight="1">
      <c r="A167" s="1" t="s">
        <v>646</v>
      </c>
      <c r="B167" s="1" t="s">
        <v>208</v>
      </c>
      <c r="C167" s="1" t="s">
        <v>7</v>
      </c>
      <c r="D167" s="1" t="s">
        <v>19</v>
      </c>
    </row>
    <row r="168" ht="14.25" customHeight="1">
      <c r="A168" s="1" t="s">
        <v>646</v>
      </c>
      <c r="B168" s="1" t="s">
        <v>208</v>
      </c>
      <c r="C168" s="1" t="s">
        <v>5</v>
      </c>
      <c r="D168" s="1" t="s">
        <v>647</v>
      </c>
    </row>
    <row r="169" ht="14.25" customHeight="1">
      <c r="A169" s="1" t="s">
        <v>646</v>
      </c>
      <c r="B169" s="1" t="s">
        <v>208</v>
      </c>
      <c r="C169" s="1" t="s">
        <v>6</v>
      </c>
      <c r="D169" s="1" t="s">
        <v>15</v>
      </c>
    </row>
    <row r="170" ht="14.25" customHeight="1">
      <c r="A170" s="1" t="s">
        <v>648</v>
      </c>
      <c r="B170" s="1" t="s">
        <v>214</v>
      </c>
      <c r="C170" s="1" t="s">
        <v>7</v>
      </c>
      <c r="D170" s="1" t="s">
        <v>25</v>
      </c>
    </row>
    <row r="171" ht="14.25" customHeight="1">
      <c r="A171" s="1" t="s">
        <v>648</v>
      </c>
      <c r="B171" s="1" t="s">
        <v>214</v>
      </c>
      <c r="C171" s="1" t="s">
        <v>5</v>
      </c>
      <c r="D171" s="1" t="s">
        <v>649</v>
      </c>
    </row>
    <row r="172" ht="14.25" customHeight="1">
      <c r="A172" s="1" t="s">
        <v>648</v>
      </c>
      <c r="B172" s="1" t="s">
        <v>214</v>
      </c>
      <c r="C172" s="1" t="s">
        <v>6</v>
      </c>
      <c r="D172" s="1" t="s">
        <v>11</v>
      </c>
    </row>
    <row r="173" ht="14.25" customHeight="1">
      <c r="A173" s="1" t="s">
        <v>650</v>
      </c>
      <c r="B173" s="1" t="s">
        <v>194</v>
      </c>
      <c r="C173" s="1" t="s">
        <v>7</v>
      </c>
      <c r="D173" s="1" t="s">
        <v>9</v>
      </c>
    </row>
    <row r="174" ht="14.25" customHeight="1">
      <c r="A174" s="1" t="s">
        <v>650</v>
      </c>
      <c r="B174" s="1" t="s">
        <v>194</v>
      </c>
      <c r="C174" s="1" t="s">
        <v>5</v>
      </c>
      <c r="D174" s="1" t="s">
        <v>651</v>
      </c>
    </row>
    <row r="175" ht="14.25" customHeight="1">
      <c r="A175" s="1" t="s">
        <v>650</v>
      </c>
      <c r="B175" s="1" t="s">
        <v>194</v>
      </c>
      <c r="C175" s="1" t="s">
        <v>6</v>
      </c>
      <c r="D175" s="1" t="s">
        <v>21</v>
      </c>
    </row>
    <row r="176" ht="14.25" customHeight="1">
      <c r="A176" s="1" t="s">
        <v>652</v>
      </c>
      <c r="B176" s="1" t="s">
        <v>182</v>
      </c>
      <c r="C176" s="1" t="s">
        <v>7</v>
      </c>
      <c r="D176" s="1" t="s">
        <v>9</v>
      </c>
    </row>
    <row r="177" ht="14.25" customHeight="1">
      <c r="A177" s="1" t="s">
        <v>652</v>
      </c>
      <c r="B177" s="1" t="s">
        <v>182</v>
      </c>
      <c r="C177" s="1" t="s">
        <v>5</v>
      </c>
      <c r="D177" s="1" t="s">
        <v>653</v>
      </c>
    </row>
    <row r="178" ht="14.25" customHeight="1">
      <c r="A178" s="1" t="s">
        <v>652</v>
      </c>
      <c r="B178" s="1" t="s">
        <v>182</v>
      </c>
      <c r="C178" s="1" t="s">
        <v>6</v>
      </c>
      <c r="D178" s="1" t="s">
        <v>21</v>
      </c>
    </row>
    <row r="179" ht="14.25" customHeight="1">
      <c r="A179" s="1" t="s">
        <v>654</v>
      </c>
      <c r="B179" s="1" t="s">
        <v>211</v>
      </c>
      <c r="C179" s="1" t="s">
        <v>7</v>
      </c>
      <c r="D179" s="1" t="s">
        <v>13</v>
      </c>
    </row>
    <row r="180" ht="14.25" customHeight="1">
      <c r="A180" s="1" t="s">
        <v>654</v>
      </c>
      <c r="B180" s="1" t="s">
        <v>211</v>
      </c>
      <c r="C180" s="1" t="s">
        <v>5</v>
      </c>
      <c r="D180" s="1" t="s">
        <v>655</v>
      </c>
    </row>
    <row r="181" ht="14.25" customHeight="1">
      <c r="A181" s="1" t="s">
        <v>654</v>
      </c>
      <c r="B181" s="1" t="s">
        <v>211</v>
      </c>
      <c r="C181" s="1" t="s">
        <v>6</v>
      </c>
      <c r="D181" s="1" t="s">
        <v>15</v>
      </c>
    </row>
    <row r="182" ht="14.25" customHeight="1">
      <c r="A182" s="1" t="s">
        <v>656</v>
      </c>
      <c r="B182" s="1" t="s">
        <v>194</v>
      </c>
      <c r="C182" s="1" t="s">
        <v>7</v>
      </c>
      <c r="D182" s="1" t="s">
        <v>25</v>
      </c>
    </row>
    <row r="183" ht="14.25" customHeight="1">
      <c r="A183" s="1" t="s">
        <v>656</v>
      </c>
      <c r="B183" s="1" t="s">
        <v>194</v>
      </c>
      <c r="C183" s="1" t="s">
        <v>5</v>
      </c>
      <c r="D183" s="1" t="s">
        <v>657</v>
      </c>
    </row>
    <row r="184" ht="14.25" customHeight="1">
      <c r="A184" s="1" t="s">
        <v>656</v>
      </c>
      <c r="B184" s="1" t="s">
        <v>194</v>
      </c>
      <c r="C184" s="1" t="s">
        <v>6</v>
      </c>
      <c r="D184" s="1" t="s">
        <v>11</v>
      </c>
    </row>
    <row r="185" ht="14.25" customHeight="1">
      <c r="A185" s="1" t="s">
        <v>658</v>
      </c>
      <c r="B185" s="1" t="s">
        <v>324</v>
      </c>
      <c r="C185" s="1" t="s">
        <v>7</v>
      </c>
      <c r="D185" s="1" t="s">
        <v>25</v>
      </c>
    </row>
    <row r="186" ht="14.25" customHeight="1">
      <c r="A186" s="1" t="s">
        <v>658</v>
      </c>
      <c r="B186" s="1" t="s">
        <v>324</v>
      </c>
      <c r="C186" s="1" t="s">
        <v>5</v>
      </c>
      <c r="D186" s="1" t="s">
        <v>659</v>
      </c>
    </row>
    <row r="187" ht="14.25" customHeight="1">
      <c r="A187" s="1" t="s">
        <v>658</v>
      </c>
      <c r="B187" s="1" t="s">
        <v>324</v>
      </c>
      <c r="C187" s="1" t="s">
        <v>6</v>
      </c>
      <c r="D187" s="1" t="s">
        <v>15</v>
      </c>
    </row>
    <row r="188" ht="14.25" customHeight="1">
      <c r="A188" s="1" t="s">
        <v>660</v>
      </c>
      <c r="B188" s="1" t="s">
        <v>246</v>
      </c>
      <c r="C188" s="1" t="s">
        <v>7</v>
      </c>
      <c r="D188" s="1" t="s">
        <v>13</v>
      </c>
    </row>
    <row r="189" ht="14.25" customHeight="1">
      <c r="A189" s="1" t="s">
        <v>660</v>
      </c>
      <c r="B189" s="1" t="s">
        <v>246</v>
      </c>
      <c r="C189" s="1" t="s">
        <v>5</v>
      </c>
      <c r="D189" s="1" t="s">
        <v>661</v>
      </c>
    </row>
    <row r="190" ht="14.25" customHeight="1">
      <c r="A190" s="1" t="s">
        <v>660</v>
      </c>
      <c r="B190" s="1" t="s">
        <v>246</v>
      </c>
      <c r="C190" s="1" t="s">
        <v>6</v>
      </c>
      <c r="D190" s="1" t="s">
        <v>15</v>
      </c>
    </row>
    <row r="191" ht="14.25" customHeight="1">
      <c r="A191" s="1" t="s">
        <v>662</v>
      </c>
      <c r="B191" s="1" t="s">
        <v>197</v>
      </c>
      <c r="C191" s="1" t="s">
        <v>7</v>
      </c>
      <c r="D191" s="1" t="s">
        <v>25</v>
      </c>
    </row>
    <row r="192" ht="14.25" customHeight="1">
      <c r="A192" s="1" t="s">
        <v>662</v>
      </c>
      <c r="B192" s="1" t="s">
        <v>197</v>
      </c>
      <c r="C192" s="1" t="s">
        <v>5</v>
      </c>
      <c r="D192" s="1" t="s">
        <v>663</v>
      </c>
    </row>
    <row r="193" ht="14.25" customHeight="1">
      <c r="A193" s="1" t="s">
        <v>662</v>
      </c>
      <c r="B193" s="1" t="s">
        <v>197</v>
      </c>
      <c r="C193" s="1" t="s">
        <v>6</v>
      </c>
      <c r="D193" s="1" t="s">
        <v>21</v>
      </c>
    </row>
    <row r="194" ht="14.25" customHeight="1">
      <c r="A194" s="1" t="s">
        <v>664</v>
      </c>
      <c r="B194" s="1" t="s">
        <v>398</v>
      </c>
      <c r="C194" s="1" t="s">
        <v>7</v>
      </c>
      <c r="D194" s="1" t="s">
        <v>19</v>
      </c>
    </row>
    <row r="195" ht="14.25" customHeight="1">
      <c r="A195" s="1" t="s">
        <v>664</v>
      </c>
      <c r="B195" s="1" t="s">
        <v>398</v>
      </c>
      <c r="C195" s="1" t="s">
        <v>5</v>
      </c>
      <c r="D195" s="1" t="s">
        <v>665</v>
      </c>
    </row>
    <row r="196" ht="14.25" customHeight="1">
      <c r="A196" s="1" t="s">
        <v>664</v>
      </c>
      <c r="B196" s="1" t="s">
        <v>398</v>
      </c>
      <c r="C196" s="1" t="s">
        <v>6</v>
      </c>
      <c r="D196" s="1" t="s">
        <v>11</v>
      </c>
    </row>
    <row r="197" ht="14.25" customHeight="1">
      <c r="A197" s="1" t="s">
        <v>666</v>
      </c>
      <c r="B197" s="1" t="s">
        <v>185</v>
      </c>
      <c r="C197" s="1" t="s">
        <v>7</v>
      </c>
      <c r="D197" s="1" t="s">
        <v>19</v>
      </c>
    </row>
    <row r="198" ht="14.25" customHeight="1">
      <c r="A198" s="1" t="s">
        <v>666</v>
      </c>
      <c r="B198" s="1" t="s">
        <v>185</v>
      </c>
      <c r="C198" s="1" t="s">
        <v>5</v>
      </c>
      <c r="D198" s="1" t="s">
        <v>667</v>
      </c>
    </row>
    <row r="199" ht="14.25" customHeight="1">
      <c r="A199" s="1" t="s">
        <v>666</v>
      </c>
      <c r="B199" s="1" t="s">
        <v>185</v>
      </c>
      <c r="C199" s="1" t="s">
        <v>6</v>
      </c>
      <c r="D199" s="1" t="s">
        <v>21</v>
      </c>
    </row>
    <row r="200" ht="14.25" customHeight="1">
      <c r="A200" s="1" t="s">
        <v>668</v>
      </c>
      <c r="B200" s="1" t="s">
        <v>191</v>
      </c>
      <c r="C200" s="1" t="s">
        <v>7</v>
      </c>
      <c r="D200" s="1" t="s">
        <v>9</v>
      </c>
    </row>
    <row r="201" ht="14.25" customHeight="1">
      <c r="A201" s="1" t="s">
        <v>668</v>
      </c>
      <c r="B201" s="1" t="s">
        <v>191</v>
      </c>
      <c r="C201" s="1" t="s">
        <v>5</v>
      </c>
      <c r="D201" s="1" t="s">
        <v>669</v>
      </c>
    </row>
    <row r="202" ht="14.25" customHeight="1">
      <c r="A202" s="1" t="s">
        <v>668</v>
      </c>
      <c r="B202" s="1" t="s">
        <v>191</v>
      </c>
      <c r="C202" s="1" t="s">
        <v>6</v>
      </c>
      <c r="D202" s="1" t="s">
        <v>21</v>
      </c>
    </row>
    <row r="203" ht="14.25" customHeight="1">
      <c r="A203" s="1" t="s">
        <v>670</v>
      </c>
      <c r="B203" s="1" t="s">
        <v>208</v>
      </c>
      <c r="C203" s="1" t="s">
        <v>7</v>
      </c>
      <c r="D203" s="1" t="s">
        <v>9</v>
      </c>
    </row>
    <row r="204" ht="14.25" customHeight="1">
      <c r="A204" s="1" t="s">
        <v>670</v>
      </c>
      <c r="B204" s="1" t="s">
        <v>208</v>
      </c>
      <c r="C204" s="1" t="s">
        <v>5</v>
      </c>
      <c r="D204" s="1" t="s">
        <v>671</v>
      </c>
    </row>
    <row r="205" ht="14.25" customHeight="1">
      <c r="A205" s="1" t="s">
        <v>670</v>
      </c>
      <c r="B205" s="1" t="s">
        <v>208</v>
      </c>
      <c r="C205" s="1" t="s">
        <v>6</v>
      </c>
      <c r="D205" s="1" t="s">
        <v>21</v>
      </c>
    </row>
    <row r="206" ht="14.25" customHeight="1">
      <c r="A206" s="1" t="s">
        <v>672</v>
      </c>
      <c r="B206" s="1" t="s">
        <v>310</v>
      </c>
      <c r="C206" s="1" t="s">
        <v>7</v>
      </c>
      <c r="D206" s="1" t="s">
        <v>25</v>
      </c>
    </row>
    <row r="207" ht="14.25" customHeight="1">
      <c r="A207" s="1" t="s">
        <v>672</v>
      </c>
      <c r="B207" s="1" t="s">
        <v>310</v>
      </c>
      <c r="C207" s="1" t="s">
        <v>5</v>
      </c>
      <c r="D207" s="1" t="s">
        <v>673</v>
      </c>
    </row>
    <row r="208" ht="14.25" customHeight="1">
      <c r="A208" s="1" t="s">
        <v>672</v>
      </c>
      <c r="B208" s="1" t="s">
        <v>310</v>
      </c>
      <c r="C208" s="1" t="s">
        <v>6</v>
      </c>
      <c r="D208" s="1" t="s">
        <v>11</v>
      </c>
    </row>
    <row r="209" ht="14.25" customHeight="1">
      <c r="A209" s="1" t="s">
        <v>674</v>
      </c>
      <c r="B209" s="1" t="s">
        <v>398</v>
      </c>
      <c r="C209" s="1" t="s">
        <v>7</v>
      </c>
      <c r="D209" s="1" t="s">
        <v>9</v>
      </c>
    </row>
    <row r="210" ht="14.25" customHeight="1">
      <c r="A210" s="1" t="s">
        <v>674</v>
      </c>
      <c r="B210" s="1" t="s">
        <v>398</v>
      </c>
      <c r="C210" s="1" t="s">
        <v>5</v>
      </c>
      <c r="D210" s="1" t="s">
        <v>675</v>
      </c>
    </row>
    <row r="211" ht="14.25" customHeight="1">
      <c r="A211" s="1" t="s">
        <v>674</v>
      </c>
      <c r="B211" s="1" t="s">
        <v>398</v>
      </c>
      <c r="C211" s="1" t="s">
        <v>6</v>
      </c>
      <c r="D211" s="1" t="s">
        <v>15</v>
      </c>
    </row>
    <row r="212" ht="14.25" customHeight="1">
      <c r="A212" s="1" t="s">
        <v>676</v>
      </c>
      <c r="B212" s="1" t="s">
        <v>264</v>
      </c>
      <c r="C212" s="1" t="s">
        <v>7</v>
      </c>
      <c r="D212" s="1" t="s">
        <v>13</v>
      </c>
    </row>
    <row r="213" ht="14.25" customHeight="1">
      <c r="A213" s="1" t="s">
        <v>676</v>
      </c>
      <c r="B213" s="1" t="s">
        <v>264</v>
      </c>
      <c r="C213" s="1" t="s">
        <v>5</v>
      </c>
      <c r="D213" s="1" t="s">
        <v>677</v>
      </c>
    </row>
    <row r="214" ht="14.25" customHeight="1">
      <c r="A214" s="1" t="s">
        <v>676</v>
      </c>
      <c r="B214" s="1" t="s">
        <v>264</v>
      </c>
      <c r="C214" s="1" t="s">
        <v>6</v>
      </c>
      <c r="D214" s="1" t="s">
        <v>15</v>
      </c>
    </row>
    <row r="215" ht="14.25" customHeight="1">
      <c r="A215" s="1" t="s">
        <v>678</v>
      </c>
      <c r="B215" s="1" t="s">
        <v>264</v>
      </c>
      <c r="C215" s="1" t="s">
        <v>7</v>
      </c>
      <c r="D215" s="1" t="s">
        <v>13</v>
      </c>
    </row>
    <row r="216" ht="14.25" customHeight="1">
      <c r="A216" s="1" t="s">
        <v>678</v>
      </c>
      <c r="B216" s="1" t="s">
        <v>264</v>
      </c>
      <c r="C216" s="1" t="s">
        <v>5</v>
      </c>
      <c r="D216" s="1" t="s">
        <v>679</v>
      </c>
    </row>
    <row r="217" ht="14.25" customHeight="1">
      <c r="A217" s="1" t="s">
        <v>678</v>
      </c>
      <c r="B217" s="1" t="s">
        <v>264</v>
      </c>
      <c r="C217" s="1" t="s">
        <v>6</v>
      </c>
      <c r="D217" s="1" t="s">
        <v>11</v>
      </c>
    </row>
    <row r="218" ht="14.25" customHeight="1">
      <c r="A218" s="1" t="s">
        <v>680</v>
      </c>
      <c r="B218" s="1" t="s">
        <v>214</v>
      </c>
      <c r="C218" s="1" t="s">
        <v>7</v>
      </c>
      <c r="D218" s="1" t="s">
        <v>25</v>
      </c>
    </row>
    <row r="219" ht="14.25" customHeight="1">
      <c r="A219" s="1" t="s">
        <v>680</v>
      </c>
      <c r="B219" s="1" t="s">
        <v>214</v>
      </c>
      <c r="C219" s="1" t="s">
        <v>5</v>
      </c>
      <c r="D219" s="1" t="s">
        <v>681</v>
      </c>
    </row>
    <row r="220" ht="14.25" customHeight="1">
      <c r="A220" s="1" t="s">
        <v>680</v>
      </c>
      <c r="B220" s="1" t="s">
        <v>214</v>
      </c>
      <c r="C220" s="1" t="s">
        <v>6</v>
      </c>
      <c r="D220" s="1" t="s">
        <v>11</v>
      </c>
    </row>
    <row r="221" ht="14.25" customHeight="1">
      <c r="A221" s="1" t="s">
        <v>682</v>
      </c>
      <c r="B221" s="1" t="s">
        <v>310</v>
      </c>
      <c r="C221" s="1" t="s">
        <v>7</v>
      </c>
      <c r="D221" s="1" t="s">
        <v>13</v>
      </c>
    </row>
    <row r="222" ht="14.25" customHeight="1">
      <c r="A222" s="1" t="s">
        <v>682</v>
      </c>
      <c r="B222" s="1" t="s">
        <v>310</v>
      </c>
      <c r="C222" s="1" t="s">
        <v>5</v>
      </c>
      <c r="D222" s="1" t="s">
        <v>683</v>
      </c>
    </row>
    <row r="223" ht="14.25" customHeight="1">
      <c r="A223" s="1" t="s">
        <v>682</v>
      </c>
      <c r="B223" s="1" t="s">
        <v>310</v>
      </c>
      <c r="C223" s="1" t="s">
        <v>6</v>
      </c>
      <c r="D223" s="1" t="s">
        <v>11</v>
      </c>
    </row>
    <row r="224" ht="14.25" customHeight="1">
      <c r="A224" s="1" t="s">
        <v>684</v>
      </c>
      <c r="B224" s="1" t="s">
        <v>398</v>
      </c>
      <c r="C224" s="1" t="s">
        <v>7</v>
      </c>
      <c r="D224" s="1" t="s">
        <v>19</v>
      </c>
    </row>
    <row r="225" ht="14.25" customHeight="1">
      <c r="A225" s="1" t="s">
        <v>684</v>
      </c>
      <c r="B225" s="1" t="s">
        <v>398</v>
      </c>
      <c r="C225" s="1" t="s">
        <v>5</v>
      </c>
      <c r="D225" s="1" t="s">
        <v>685</v>
      </c>
    </row>
    <row r="226" ht="14.25" customHeight="1">
      <c r="A226" s="1" t="s">
        <v>684</v>
      </c>
      <c r="B226" s="1" t="s">
        <v>398</v>
      </c>
      <c r="C226" s="1" t="s">
        <v>6</v>
      </c>
      <c r="D226" s="1" t="s">
        <v>21</v>
      </c>
    </row>
    <row r="227" ht="14.25" customHeight="1">
      <c r="A227" s="1" t="s">
        <v>686</v>
      </c>
      <c r="B227" s="1" t="s">
        <v>236</v>
      </c>
      <c r="C227" s="1" t="s">
        <v>7</v>
      </c>
      <c r="D227" s="1" t="s">
        <v>19</v>
      </c>
    </row>
    <row r="228" ht="14.25" customHeight="1">
      <c r="A228" s="1" t="s">
        <v>686</v>
      </c>
      <c r="B228" s="1" t="s">
        <v>236</v>
      </c>
      <c r="C228" s="1" t="s">
        <v>5</v>
      </c>
      <c r="D228" s="1" t="s">
        <v>687</v>
      </c>
    </row>
    <row r="229" ht="14.25" customHeight="1">
      <c r="A229" s="1" t="s">
        <v>686</v>
      </c>
      <c r="B229" s="1" t="s">
        <v>236</v>
      </c>
      <c r="C229" s="1" t="s">
        <v>6</v>
      </c>
      <c r="D229" s="1" t="s">
        <v>21</v>
      </c>
    </row>
    <row r="230" ht="14.25" customHeight="1">
      <c r="A230" s="1" t="s">
        <v>688</v>
      </c>
      <c r="B230" s="1" t="s">
        <v>378</v>
      </c>
      <c r="C230" s="1" t="s">
        <v>7</v>
      </c>
      <c r="D230" s="1" t="s">
        <v>9</v>
      </c>
    </row>
    <row r="231" ht="14.25" customHeight="1">
      <c r="A231" s="1" t="s">
        <v>688</v>
      </c>
      <c r="B231" s="1" t="s">
        <v>378</v>
      </c>
      <c r="C231" s="1" t="s">
        <v>5</v>
      </c>
      <c r="D231" s="1" t="s">
        <v>689</v>
      </c>
    </row>
    <row r="232" ht="14.25" customHeight="1">
      <c r="A232" s="1" t="s">
        <v>688</v>
      </c>
      <c r="B232" s="1" t="s">
        <v>378</v>
      </c>
      <c r="C232" s="1" t="s">
        <v>6</v>
      </c>
      <c r="D232" s="1" t="s">
        <v>11</v>
      </c>
    </row>
    <row r="233" ht="14.25" customHeight="1">
      <c r="A233" s="1" t="s">
        <v>690</v>
      </c>
      <c r="B233" s="1" t="s">
        <v>381</v>
      </c>
      <c r="C233" s="1" t="s">
        <v>7</v>
      </c>
      <c r="D233" s="1" t="s">
        <v>25</v>
      </c>
    </row>
    <row r="234" ht="14.25" customHeight="1">
      <c r="A234" s="1" t="s">
        <v>690</v>
      </c>
      <c r="B234" s="1" t="s">
        <v>381</v>
      </c>
      <c r="C234" s="1" t="s">
        <v>5</v>
      </c>
      <c r="D234" s="1" t="s">
        <v>691</v>
      </c>
    </row>
    <row r="235" ht="14.25" customHeight="1">
      <c r="A235" s="1" t="s">
        <v>690</v>
      </c>
      <c r="B235" s="1" t="s">
        <v>381</v>
      </c>
      <c r="C235" s="1" t="s">
        <v>6</v>
      </c>
      <c r="D235" s="1" t="s">
        <v>21</v>
      </c>
    </row>
    <row r="236" ht="14.25" customHeight="1">
      <c r="A236" s="1" t="s">
        <v>692</v>
      </c>
      <c r="B236" s="1" t="s">
        <v>211</v>
      </c>
      <c r="C236" s="1" t="s">
        <v>7</v>
      </c>
      <c r="D236" s="1" t="s">
        <v>9</v>
      </c>
    </row>
    <row r="237" ht="14.25" customHeight="1">
      <c r="A237" s="1" t="s">
        <v>692</v>
      </c>
      <c r="B237" s="1" t="s">
        <v>211</v>
      </c>
      <c r="C237" s="1" t="s">
        <v>5</v>
      </c>
      <c r="D237" s="1" t="s">
        <v>693</v>
      </c>
    </row>
    <row r="238" ht="14.25" customHeight="1">
      <c r="A238" s="1" t="s">
        <v>692</v>
      </c>
      <c r="B238" s="1" t="s">
        <v>211</v>
      </c>
      <c r="C238" s="1" t="s">
        <v>6</v>
      </c>
      <c r="D238" s="1" t="s">
        <v>15</v>
      </c>
    </row>
    <row r="239" ht="14.25" customHeight="1">
      <c r="A239" s="1" t="s">
        <v>694</v>
      </c>
      <c r="B239" s="1" t="s">
        <v>398</v>
      </c>
      <c r="C239" s="1" t="s">
        <v>7</v>
      </c>
      <c r="D239" s="1" t="s">
        <v>9</v>
      </c>
    </row>
    <row r="240" ht="14.25" customHeight="1">
      <c r="A240" s="1" t="s">
        <v>694</v>
      </c>
      <c r="B240" s="1" t="s">
        <v>398</v>
      </c>
      <c r="C240" s="1" t="s">
        <v>5</v>
      </c>
      <c r="D240" s="1" t="s">
        <v>695</v>
      </c>
    </row>
    <row r="241" ht="14.25" customHeight="1">
      <c r="A241" s="1" t="s">
        <v>694</v>
      </c>
      <c r="B241" s="1" t="s">
        <v>398</v>
      </c>
      <c r="C241" s="1" t="s">
        <v>6</v>
      </c>
      <c r="D241" s="1" t="s">
        <v>11</v>
      </c>
    </row>
    <row r="242" ht="14.25" customHeight="1">
      <c r="A242" s="1" t="s">
        <v>696</v>
      </c>
      <c r="B242" s="1" t="s">
        <v>211</v>
      </c>
      <c r="C242" s="1" t="s">
        <v>7</v>
      </c>
      <c r="D242" s="1" t="s">
        <v>19</v>
      </c>
    </row>
    <row r="243" ht="14.25" customHeight="1">
      <c r="A243" s="1" t="s">
        <v>696</v>
      </c>
      <c r="B243" s="1" t="s">
        <v>211</v>
      </c>
      <c r="C243" s="1" t="s">
        <v>5</v>
      </c>
      <c r="D243" s="1" t="s">
        <v>697</v>
      </c>
    </row>
    <row r="244" ht="14.25" customHeight="1">
      <c r="A244" s="1" t="s">
        <v>696</v>
      </c>
      <c r="B244" s="1" t="s">
        <v>211</v>
      </c>
      <c r="C244" s="1" t="s">
        <v>6</v>
      </c>
      <c r="D244" s="1" t="s">
        <v>11</v>
      </c>
    </row>
    <row r="245" ht="14.25" customHeight="1">
      <c r="A245" s="1" t="s">
        <v>698</v>
      </c>
      <c r="B245" s="1" t="s">
        <v>317</v>
      </c>
      <c r="C245" s="1" t="s">
        <v>7</v>
      </c>
      <c r="D245" s="1" t="s">
        <v>13</v>
      </c>
    </row>
    <row r="246" ht="14.25" customHeight="1">
      <c r="A246" s="1" t="s">
        <v>698</v>
      </c>
      <c r="B246" s="1" t="s">
        <v>317</v>
      </c>
      <c r="C246" s="1" t="s">
        <v>5</v>
      </c>
      <c r="D246" s="1" t="s">
        <v>699</v>
      </c>
    </row>
    <row r="247" ht="14.25" customHeight="1">
      <c r="A247" s="1" t="s">
        <v>698</v>
      </c>
      <c r="B247" s="1" t="s">
        <v>317</v>
      </c>
      <c r="C247" s="1" t="s">
        <v>6</v>
      </c>
      <c r="D247" s="1" t="s">
        <v>11</v>
      </c>
    </row>
    <row r="248" ht="14.25" customHeight="1">
      <c r="A248" s="1" t="s">
        <v>700</v>
      </c>
      <c r="B248" s="1" t="s">
        <v>191</v>
      </c>
      <c r="C248" s="1" t="s">
        <v>7</v>
      </c>
      <c r="D248" s="1" t="s">
        <v>9</v>
      </c>
    </row>
    <row r="249" ht="14.25" customHeight="1">
      <c r="A249" s="1" t="s">
        <v>700</v>
      </c>
      <c r="B249" s="1" t="s">
        <v>191</v>
      </c>
      <c r="C249" s="1" t="s">
        <v>5</v>
      </c>
      <c r="D249" s="1" t="s">
        <v>701</v>
      </c>
    </row>
    <row r="250" ht="14.25" customHeight="1">
      <c r="A250" s="1" t="s">
        <v>700</v>
      </c>
      <c r="B250" s="1" t="s">
        <v>191</v>
      </c>
      <c r="C250" s="1" t="s">
        <v>6</v>
      </c>
      <c r="D250" s="1" t="s">
        <v>21</v>
      </c>
    </row>
    <row r="251" ht="14.25" customHeight="1">
      <c r="A251" s="1" t="s">
        <v>702</v>
      </c>
      <c r="B251" s="1" t="s">
        <v>211</v>
      </c>
      <c r="C251" s="1" t="s">
        <v>7</v>
      </c>
      <c r="D251" s="1" t="s">
        <v>13</v>
      </c>
    </row>
    <row r="252" ht="14.25" customHeight="1">
      <c r="A252" s="1" t="s">
        <v>702</v>
      </c>
      <c r="B252" s="1" t="s">
        <v>211</v>
      </c>
      <c r="C252" s="1" t="s">
        <v>5</v>
      </c>
      <c r="D252" s="1" t="s">
        <v>703</v>
      </c>
    </row>
    <row r="253" ht="14.25" customHeight="1">
      <c r="A253" s="1" t="s">
        <v>702</v>
      </c>
      <c r="B253" s="1" t="s">
        <v>211</v>
      </c>
      <c r="C253" s="1" t="s">
        <v>6</v>
      </c>
      <c r="D253" s="1" t="s">
        <v>15</v>
      </c>
    </row>
    <row r="254" ht="14.25" customHeight="1">
      <c r="A254" s="1" t="s">
        <v>704</v>
      </c>
      <c r="B254" s="1" t="s">
        <v>211</v>
      </c>
      <c r="C254" s="1" t="s">
        <v>7</v>
      </c>
      <c r="D254" s="1" t="s">
        <v>13</v>
      </c>
    </row>
    <row r="255" ht="14.25" customHeight="1">
      <c r="A255" s="1" t="s">
        <v>704</v>
      </c>
      <c r="B255" s="1" t="s">
        <v>211</v>
      </c>
      <c r="C255" s="1" t="s">
        <v>5</v>
      </c>
      <c r="D255" s="1" t="s">
        <v>705</v>
      </c>
    </row>
    <row r="256" ht="14.25" customHeight="1">
      <c r="A256" s="1" t="s">
        <v>704</v>
      </c>
      <c r="B256" s="1" t="s">
        <v>211</v>
      </c>
      <c r="C256" s="1" t="s">
        <v>6</v>
      </c>
      <c r="D256" s="1" t="s">
        <v>21</v>
      </c>
    </row>
    <row r="257" ht="14.25" customHeight="1">
      <c r="A257" s="1" t="s">
        <v>706</v>
      </c>
      <c r="B257" s="1" t="s">
        <v>398</v>
      </c>
      <c r="C257" s="1" t="s">
        <v>7</v>
      </c>
      <c r="D257" s="1" t="s">
        <v>13</v>
      </c>
    </row>
    <row r="258" ht="14.25" customHeight="1">
      <c r="A258" s="1" t="s">
        <v>706</v>
      </c>
      <c r="B258" s="1" t="s">
        <v>398</v>
      </c>
      <c r="C258" s="1" t="s">
        <v>5</v>
      </c>
      <c r="D258" s="1" t="s">
        <v>707</v>
      </c>
    </row>
    <row r="259" ht="14.25" customHeight="1">
      <c r="A259" s="1" t="s">
        <v>706</v>
      </c>
      <c r="B259" s="1" t="s">
        <v>398</v>
      </c>
      <c r="C259" s="1" t="s">
        <v>6</v>
      </c>
      <c r="D259" s="1" t="s">
        <v>11</v>
      </c>
    </row>
    <row r="260" ht="14.25" customHeight="1">
      <c r="A260" s="1" t="s">
        <v>708</v>
      </c>
      <c r="B260" s="1" t="s">
        <v>191</v>
      </c>
      <c r="C260" s="1" t="s">
        <v>7</v>
      </c>
      <c r="D260" s="1" t="s">
        <v>9</v>
      </c>
    </row>
    <row r="261" ht="14.25" customHeight="1">
      <c r="A261" s="1" t="s">
        <v>708</v>
      </c>
      <c r="B261" s="1" t="s">
        <v>191</v>
      </c>
      <c r="C261" s="1" t="s">
        <v>5</v>
      </c>
      <c r="D261" s="1" t="s">
        <v>709</v>
      </c>
    </row>
    <row r="262" ht="14.25" customHeight="1">
      <c r="A262" s="1" t="s">
        <v>708</v>
      </c>
      <c r="B262" s="1" t="s">
        <v>191</v>
      </c>
      <c r="C262" s="1" t="s">
        <v>6</v>
      </c>
      <c r="D262" s="1" t="s">
        <v>15</v>
      </c>
    </row>
    <row r="263" ht="14.25" customHeight="1">
      <c r="A263" s="1" t="s">
        <v>710</v>
      </c>
      <c r="B263" s="1" t="s">
        <v>214</v>
      </c>
      <c r="C263" s="1" t="s">
        <v>7</v>
      </c>
      <c r="D263" s="1" t="s">
        <v>9</v>
      </c>
    </row>
    <row r="264" ht="14.25" customHeight="1">
      <c r="A264" s="1" t="s">
        <v>710</v>
      </c>
      <c r="B264" s="1" t="s">
        <v>214</v>
      </c>
      <c r="C264" s="1" t="s">
        <v>5</v>
      </c>
      <c r="D264" s="1" t="s">
        <v>711</v>
      </c>
    </row>
    <row r="265" ht="14.25" customHeight="1">
      <c r="A265" s="1" t="s">
        <v>710</v>
      </c>
      <c r="B265" s="1" t="s">
        <v>214</v>
      </c>
      <c r="C265" s="1" t="s">
        <v>6</v>
      </c>
      <c r="D265" s="1" t="s">
        <v>21</v>
      </c>
    </row>
    <row r="266" ht="14.25" customHeight="1">
      <c r="A266" s="1" t="s">
        <v>712</v>
      </c>
      <c r="B266" s="1" t="s">
        <v>292</v>
      </c>
      <c r="C266" s="1" t="s">
        <v>7</v>
      </c>
      <c r="D266" s="1" t="s">
        <v>13</v>
      </c>
    </row>
    <row r="267" ht="14.25" customHeight="1">
      <c r="A267" s="1" t="s">
        <v>712</v>
      </c>
      <c r="B267" s="1" t="s">
        <v>292</v>
      </c>
      <c r="C267" s="1" t="s">
        <v>5</v>
      </c>
      <c r="D267" s="1" t="s">
        <v>713</v>
      </c>
    </row>
    <row r="268" ht="14.25" customHeight="1">
      <c r="A268" s="1" t="s">
        <v>712</v>
      </c>
      <c r="B268" s="1" t="s">
        <v>292</v>
      </c>
      <c r="C268" s="1" t="s">
        <v>6</v>
      </c>
      <c r="D268" s="1" t="s">
        <v>11</v>
      </c>
    </row>
    <row r="269" ht="14.25" customHeight="1">
      <c r="A269" s="1" t="s">
        <v>714</v>
      </c>
      <c r="B269" s="1" t="s">
        <v>203</v>
      </c>
      <c r="C269" s="1" t="s">
        <v>7</v>
      </c>
      <c r="D269" s="1" t="s">
        <v>25</v>
      </c>
    </row>
    <row r="270" ht="14.25" customHeight="1">
      <c r="A270" s="1" t="s">
        <v>714</v>
      </c>
      <c r="B270" s="1" t="s">
        <v>203</v>
      </c>
      <c r="C270" s="1" t="s">
        <v>5</v>
      </c>
      <c r="D270" s="1" t="s">
        <v>715</v>
      </c>
    </row>
    <row r="271" ht="14.25" customHeight="1">
      <c r="A271" s="1" t="s">
        <v>714</v>
      </c>
      <c r="B271" s="1" t="s">
        <v>203</v>
      </c>
      <c r="C271" s="1" t="s">
        <v>6</v>
      </c>
      <c r="D271" s="1" t="s">
        <v>21</v>
      </c>
    </row>
    <row r="272" ht="14.25" customHeight="1">
      <c r="A272" s="1" t="s">
        <v>716</v>
      </c>
      <c r="B272" s="1" t="s">
        <v>230</v>
      </c>
      <c r="C272" s="1" t="s">
        <v>7</v>
      </c>
      <c r="D272" s="1" t="s">
        <v>25</v>
      </c>
    </row>
    <row r="273" ht="14.25" customHeight="1">
      <c r="A273" s="1" t="s">
        <v>716</v>
      </c>
      <c r="B273" s="1" t="s">
        <v>230</v>
      </c>
      <c r="C273" s="1" t="s">
        <v>5</v>
      </c>
      <c r="D273" s="1" t="s">
        <v>717</v>
      </c>
    </row>
    <row r="274" ht="14.25" customHeight="1">
      <c r="A274" s="1" t="s">
        <v>716</v>
      </c>
      <c r="B274" s="1" t="s">
        <v>230</v>
      </c>
      <c r="C274" s="1" t="s">
        <v>6</v>
      </c>
      <c r="D274" s="1" t="s">
        <v>11</v>
      </c>
    </row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718</v>
      </c>
      <c r="B2" s="1" t="s">
        <v>264</v>
      </c>
      <c r="C2" s="1" t="s">
        <v>7</v>
      </c>
      <c r="D2" s="1" t="s">
        <v>19</v>
      </c>
      <c r="F2" s="4" t="str">
        <f>IFERROR(__xludf.DUMMYFUNCTION("UNIQUE(A2:A1000)"),"239922")</f>
        <v>239922</v>
      </c>
      <c r="G2" s="4" t="str">
        <f t="shared" ref="G2:G77" si="1">CONCATENATE("05","/",VLOOKUP(F2, A2:D1000, 2, false),"/",2023)</f>
        <v>05/15/2023</v>
      </c>
      <c r="H2" s="4" t="str">
        <f t="shared" ref="H2:H77" si="2">INDEX(D:D, MATCH(1, ($A:$A = $F2) * ($C:$C = $H$1), 0))</f>
        <v>10/31/1989</v>
      </c>
      <c r="I2" s="4" t="str">
        <f t="shared" ref="I2:I77" si="3">INDEX(D:D, MATCH(1, ($A:$A = $F2) * ($C:$C = $I$1), 0))</f>
        <v>Basic</v>
      </c>
      <c r="J2" s="4" t="str">
        <f t="shared" ref="J2:J77" si="4">INDEX(D:D, MATCH(1, ($A:$A = $F2) * ($C:$C = $J$1), 0))</f>
        <v>Asian</v>
      </c>
    </row>
    <row r="3" ht="14.25" customHeight="1">
      <c r="A3" s="1" t="s">
        <v>718</v>
      </c>
      <c r="B3" s="1" t="s">
        <v>264</v>
      </c>
      <c r="C3" s="1" t="s">
        <v>5</v>
      </c>
      <c r="D3" s="1" t="s">
        <v>719</v>
      </c>
      <c r="F3" s="1" t="str">
        <f>IFERROR(__xludf.DUMMYFUNCTION("""COMPUTED_VALUE"""),"131879")</f>
        <v>131879</v>
      </c>
      <c r="G3" s="4" t="str">
        <f t="shared" si="1"/>
        <v>05/4/2023</v>
      </c>
      <c r="H3" s="4" t="str">
        <f t="shared" si="2"/>
        <v>9/2/1952</v>
      </c>
      <c r="I3" s="4" t="str">
        <f t="shared" si="3"/>
        <v>Platinum</v>
      </c>
      <c r="J3" s="4" t="str">
        <f t="shared" si="4"/>
        <v>Other</v>
      </c>
    </row>
    <row r="4" ht="14.25" customHeight="1">
      <c r="A4" s="1" t="s">
        <v>718</v>
      </c>
      <c r="B4" s="1" t="s">
        <v>264</v>
      </c>
      <c r="C4" s="1" t="s">
        <v>6</v>
      </c>
      <c r="D4" s="1" t="s">
        <v>21</v>
      </c>
      <c r="F4" s="1" t="str">
        <f>IFERROR(__xludf.DUMMYFUNCTION("""COMPUTED_VALUE"""),"828717")</f>
        <v>828717</v>
      </c>
      <c r="G4" s="4" t="str">
        <f t="shared" si="1"/>
        <v>05/4/2023</v>
      </c>
      <c r="H4" s="4" t="str">
        <f t="shared" si="2"/>
        <v>10/8/1978</v>
      </c>
      <c r="I4" s="4" t="str">
        <f t="shared" si="3"/>
        <v>Basic</v>
      </c>
      <c r="J4" s="4" t="str">
        <f t="shared" si="4"/>
        <v>White</v>
      </c>
    </row>
    <row r="5" ht="14.25" customHeight="1">
      <c r="A5" s="1" t="s">
        <v>720</v>
      </c>
      <c r="B5" s="1" t="s">
        <v>310</v>
      </c>
      <c r="C5" s="1" t="s">
        <v>7</v>
      </c>
      <c r="D5" s="1" t="s">
        <v>9</v>
      </c>
      <c r="F5" s="1" t="str">
        <f>IFERROR(__xludf.DUMMYFUNCTION("""COMPUTED_VALUE"""),"426552")</f>
        <v>426552</v>
      </c>
      <c r="G5" s="4" t="str">
        <f t="shared" si="1"/>
        <v>05/24/2023</v>
      </c>
      <c r="H5" s="4" t="str">
        <f t="shared" si="2"/>
        <v>9/13/1995</v>
      </c>
      <c r="I5" s="4" t="str">
        <f t="shared" si="3"/>
        <v>Gold</v>
      </c>
      <c r="J5" s="4" t="str">
        <f t="shared" si="4"/>
        <v>White</v>
      </c>
    </row>
    <row r="6" ht="14.25" customHeight="1">
      <c r="A6" s="1" t="s">
        <v>720</v>
      </c>
      <c r="B6" s="1" t="s">
        <v>310</v>
      </c>
      <c r="C6" s="1" t="s">
        <v>5</v>
      </c>
      <c r="D6" s="1" t="s">
        <v>721</v>
      </c>
      <c r="F6" s="1" t="str">
        <f>IFERROR(__xludf.DUMMYFUNCTION("""COMPUTED_VALUE"""),"742714")</f>
        <v>742714</v>
      </c>
      <c r="G6" s="4" t="str">
        <f t="shared" si="1"/>
        <v>05/5/2023</v>
      </c>
      <c r="H6" s="4" t="str">
        <f t="shared" si="2"/>
        <v>4/4/1968</v>
      </c>
      <c r="I6" s="4" t="str">
        <f t="shared" si="3"/>
        <v>Gold</v>
      </c>
      <c r="J6" s="4" t="str">
        <f t="shared" si="4"/>
        <v>Black</v>
      </c>
    </row>
    <row r="7" ht="14.25" customHeight="1">
      <c r="A7" s="1" t="s">
        <v>720</v>
      </c>
      <c r="B7" s="1" t="s">
        <v>310</v>
      </c>
      <c r="C7" s="1" t="s">
        <v>6</v>
      </c>
      <c r="D7" s="1" t="s">
        <v>11</v>
      </c>
      <c r="F7" s="1" t="str">
        <f>IFERROR(__xludf.DUMMYFUNCTION("""COMPUTED_VALUE"""),"112311")</f>
        <v>112311</v>
      </c>
      <c r="G7" s="4" t="str">
        <f t="shared" si="1"/>
        <v>05/9/2023</v>
      </c>
      <c r="H7" s="4" t="str">
        <f t="shared" si="2"/>
        <v>8/11/1990</v>
      </c>
      <c r="I7" s="4" t="str">
        <f t="shared" si="3"/>
        <v>Gold</v>
      </c>
      <c r="J7" s="4" t="str">
        <f t="shared" si="4"/>
        <v>Other</v>
      </c>
    </row>
    <row r="8" ht="14.25" customHeight="1">
      <c r="A8" s="1" t="s">
        <v>722</v>
      </c>
      <c r="B8" s="1" t="s">
        <v>310</v>
      </c>
      <c r="C8" s="1" t="s">
        <v>7</v>
      </c>
      <c r="D8" s="1" t="s">
        <v>13</v>
      </c>
      <c r="F8" s="1" t="str">
        <f>IFERROR(__xludf.DUMMYFUNCTION("""COMPUTED_VALUE"""),"878515")</f>
        <v>878515</v>
      </c>
      <c r="G8" s="4" t="str">
        <f t="shared" si="1"/>
        <v>05/7/2023</v>
      </c>
      <c r="H8" s="4" t="str">
        <f t="shared" si="2"/>
        <v>7/21/1989</v>
      </c>
      <c r="I8" s="4" t="str">
        <f t="shared" si="3"/>
        <v>Gold</v>
      </c>
      <c r="J8" s="4" t="str">
        <f t="shared" si="4"/>
        <v>Other</v>
      </c>
    </row>
    <row r="9" ht="14.25" customHeight="1">
      <c r="A9" s="1" t="s">
        <v>722</v>
      </c>
      <c r="B9" s="1" t="s">
        <v>310</v>
      </c>
      <c r="C9" s="1" t="s">
        <v>5</v>
      </c>
      <c r="D9" s="1" t="s">
        <v>723</v>
      </c>
      <c r="F9" s="1" t="str">
        <f>IFERROR(__xludf.DUMMYFUNCTION("""COMPUTED_VALUE"""),"942174")</f>
        <v>942174</v>
      </c>
      <c r="G9" s="4" t="str">
        <f t="shared" si="1"/>
        <v>05/10/2023</v>
      </c>
      <c r="H9" s="4" t="str">
        <f t="shared" si="2"/>
        <v>6/11/1984</v>
      </c>
      <c r="I9" s="4" t="str">
        <f t="shared" si="3"/>
        <v>Gold</v>
      </c>
      <c r="J9" s="4" t="str">
        <f t="shared" si="4"/>
        <v>White</v>
      </c>
    </row>
    <row r="10" ht="14.25" customHeight="1">
      <c r="A10" s="1" t="s">
        <v>722</v>
      </c>
      <c r="B10" s="1" t="s">
        <v>310</v>
      </c>
      <c r="C10" s="1" t="s">
        <v>6</v>
      </c>
      <c r="D10" s="1" t="s">
        <v>21</v>
      </c>
      <c r="F10" s="1" t="str">
        <f>IFERROR(__xludf.DUMMYFUNCTION("""COMPUTED_VALUE"""),"319191")</f>
        <v>319191</v>
      </c>
      <c r="G10" s="4" t="str">
        <f t="shared" si="1"/>
        <v>05/7/2023</v>
      </c>
      <c r="H10" s="4" t="str">
        <f t="shared" si="2"/>
        <v>12/16/2010</v>
      </c>
      <c r="I10" s="4" t="str">
        <f t="shared" si="3"/>
        <v>Platinum</v>
      </c>
      <c r="J10" s="4" t="str">
        <f t="shared" si="4"/>
        <v>Other</v>
      </c>
    </row>
    <row r="11" ht="14.25" customHeight="1">
      <c r="A11" s="1" t="s">
        <v>724</v>
      </c>
      <c r="B11" s="1" t="s">
        <v>239</v>
      </c>
      <c r="C11" s="1" t="s">
        <v>7</v>
      </c>
      <c r="D11" s="1" t="s">
        <v>13</v>
      </c>
      <c r="F11" s="1" t="str">
        <f>IFERROR(__xludf.DUMMYFUNCTION("""COMPUTED_VALUE"""),"296948")</f>
        <v>296948</v>
      </c>
      <c r="G11" s="4" t="str">
        <f t="shared" si="1"/>
        <v>05/21/2023</v>
      </c>
      <c r="H11" s="4" t="str">
        <f t="shared" si="2"/>
        <v>12/10/1986</v>
      </c>
      <c r="I11" s="4" t="str">
        <f t="shared" si="3"/>
        <v>Platinum</v>
      </c>
      <c r="J11" s="4" t="str">
        <f t="shared" si="4"/>
        <v>Black</v>
      </c>
    </row>
    <row r="12" ht="14.25" customHeight="1">
      <c r="A12" s="1" t="s">
        <v>724</v>
      </c>
      <c r="B12" s="1" t="s">
        <v>239</v>
      </c>
      <c r="C12" s="1" t="s">
        <v>5</v>
      </c>
      <c r="D12" s="1" t="s">
        <v>725</v>
      </c>
      <c r="F12" s="1" t="str">
        <f>IFERROR(__xludf.DUMMYFUNCTION("""COMPUTED_VALUE"""),"778767")</f>
        <v>778767</v>
      </c>
      <c r="G12" s="4" t="str">
        <f t="shared" si="1"/>
        <v>05/12/2023</v>
      </c>
      <c r="H12" s="4" t="str">
        <f t="shared" si="2"/>
        <v>6/5/1991</v>
      </c>
      <c r="I12" s="4" t="str">
        <f t="shared" si="3"/>
        <v>Basic</v>
      </c>
      <c r="J12" s="4" t="str">
        <f t="shared" si="4"/>
        <v>White</v>
      </c>
    </row>
    <row r="13" ht="14.25" customHeight="1">
      <c r="A13" s="1" t="s">
        <v>724</v>
      </c>
      <c r="B13" s="1" t="s">
        <v>239</v>
      </c>
      <c r="C13" s="1" t="s">
        <v>6</v>
      </c>
      <c r="D13" s="1" t="s">
        <v>15</v>
      </c>
      <c r="F13" s="1" t="str">
        <f>IFERROR(__xludf.DUMMYFUNCTION("""COMPUTED_VALUE"""),"569694")</f>
        <v>569694</v>
      </c>
      <c r="G13" s="4" t="str">
        <f t="shared" si="1"/>
        <v>05/24/2023</v>
      </c>
      <c r="H13" s="4" t="str">
        <f t="shared" si="2"/>
        <v>11/7/2018</v>
      </c>
      <c r="I13" s="4" t="str">
        <f t="shared" si="3"/>
        <v>Platinum</v>
      </c>
      <c r="J13" s="4" t="str">
        <f t="shared" si="4"/>
        <v>Black</v>
      </c>
    </row>
    <row r="14" ht="14.25" customHeight="1">
      <c r="A14" s="1" t="s">
        <v>726</v>
      </c>
      <c r="B14" s="1" t="s">
        <v>185</v>
      </c>
      <c r="C14" s="1" t="s">
        <v>7</v>
      </c>
      <c r="D14" s="1" t="s">
        <v>25</v>
      </c>
      <c r="F14" s="1" t="str">
        <f>IFERROR(__xludf.DUMMYFUNCTION("""COMPUTED_VALUE"""),"433632")</f>
        <v>433632</v>
      </c>
      <c r="G14" s="4" t="str">
        <f t="shared" si="1"/>
        <v>05/1/2023</v>
      </c>
      <c r="H14" s="4" t="str">
        <f t="shared" si="2"/>
        <v>9/27/1992</v>
      </c>
      <c r="I14" s="4" t="str">
        <f t="shared" si="3"/>
        <v>Platinum</v>
      </c>
      <c r="J14" s="4" t="str">
        <f t="shared" si="4"/>
        <v>White</v>
      </c>
    </row>
    <row r="15" ht="14.25" customHeight="1">
      <c r="A15" s="1" t="s">
        <v>726</v>
      </c>
      <c r="B15" s="1" t="s">
        <v>185</v>
      </c>
      <c r="C15" s="1" t="s">
        <v>5</v>
      </c>
      <c r="D15" s="1" t="s">
        <v>727</v>
      </c>
      <c r="F15" s="1" t="str">
        <f>IFERROR(__xludf.DUMMYFUNCTION("""COMPUTED_VALUE"""),"210741")</f>
        <v>210741</v>
      </c>
      <c r="G15" s="4" t="str">
        <f t="shared" si="1"/>
        <v>05/15/2023</v>
      </c>
      <c r="H15" s="4" t="str">
        <f t="shared" si="2"/>
        <v>1/8/1985</v>
      </c>
      <c r="I15" s="4" t="str">
        <f t="shared" si="3"/>
        <v>Gold</v>
      </c>
      <c r="J15" s="4" t="str">
        <f t="shared" si="4"/>
        <v>White</v>
      </c>
    </row>
    <row r="16" ht="14.25" customHeight="1">
      <c r="A16" s="1" t="s">
        <v>726</v>
      </c>
      <c r="B16" s="1" t="s">
        <v>185</v>
      </c>
      <c r="C16" s="1" t="s">
        <v>6</v>
      </c>
      <c r="D16" s="1" t="s">
        <v>15</v>
      </c>
      <c r="F16" s="1" t="str">
        <f>IFERROR(__xludf.DUMMYFUNCTION("""COMPUTED_VALUE"""),"636423")</f>
        <v>636423</v>
      </c>
      <c r="G16" s="4" t="str">
        <f t="shared" si="1"/>
        <v>05/20/2023</v>
      </c>
      <c r="H16" s="4" t="str">
        <f t="shared" si="2"/>
        <v>7/4/1983</v>
      </c>
      <c r="I16" s="4" t="str">
        <f t="shared" si="3"/>
        <v>Platinum</v>
      </c>
      <c r="J16" s="4" t="str">
        <f t="shared" si="4"/>
        <v>Asian</v>
      </c>
    </row>
    <row r="17" ht="14.25" customHeight="1">
      <c r="A17" s="1" t="s">
        <v>728</v>
      </c>
      <c r="B17" s="1" t="s">
        <v>197</v>
      </c>
      <c r="C17" s="1" t="s">
        <v>7</v>
      </c>
      <c r="D17" s="1" t="s">
        <v>9</v>
      </c>
      <c r="F17" s="1" t="str">
        <f>IFERROR(__xludf.DUMMYFUNCTION("""COMPUTED_VALUE"""),"979652")</f>
        <v>979652</v>
      </c>
      <c r="G17" s="4" t="str">
        <f t="shared" si="1"/>
        <v>05/15/2023</v>
      </c>
      <c r="H17" s="4" t="str">
        <f t="shared" si="2"/>
        <v>5/23/1956</v>
      </c>
      <c r="I17" s="4" t="str">
        <f t="shared" si="3"/>
        <v>Platinum</v>
      </c>
      <c r="J17" s="4" t="str">
        <f t="shared" si="4"/>
        <v>Black</v>
      </c>
    </row>
    <row r="18" ht="14.25" customHeight="1">
      <c r="A18" s="1" t="s">
        <v>728</v>
      </c>
      <c r="B18" s="1" t="s">
        <v>197</v>
      </c>
      <c r="C18" s="1" t="s">
        <v>5</v>
      </c>
      <c r="D18" s="1" t="s">
        <v>729</v>
      </c>
      <c r="F18" s="1" t="str">
        <f>IFERROR(__xludf.DUMMYFUNCTION("""COMPUTED_VALUE"""),"801200")</f>
        <v>801200</v>
      </c>
      <c r="G18" s="4" t="str">
        <f t="shared" si="1"/>
        <v>05/15/2023</v>
      </c>
      <c r="H18" s="4" t="str">
        <f t="shared" si="2"/>
        <v>1/25/1979</v>
      </c>
      <c r="I18" s="4" t="str">
        <f t="shared" si="3"/>
        <v>Platinum</v>
      </c>
      <c r="J18" s="4" t="str">
        <f t="shared" si="4"/>
        <v>Black</v>
      </c>
    </row>
    <row r="19" ht="14.25" customHeight="1">
      <c r="A19" s="1" t="s">
        <v>728</v>
      </c>
      <c r="B19" s="1" t="s">
        <v>197</v>
      </c>
      <c r="C19" s="1" t="s">
        <v>6</v>
      </c>
      <c r="D19" s="1" t="s">
        <v>15</v>
      </c>
      <c r="F19" s="1" t="str">
        <f>IFERROR(__xludf.DUMMYFUNCTION("""COMPUTED_VALUE"""),"775261")</f>
        <v>775261</v>
      </c>
      <c r="G19" s="4" t="str">
        <f t="shared" si="1"/>
        <v>05/3/2023</v>
      </c>
      <c r="H19" s="4" t="str">
        <f t="shared" si="2"/>
        <v>2/23/1952</v>
      </c>
      <c r="I19" s="4" t="str">
        <f t="shared" si="3"/>
        <v>Gold</v>
      </c>
      <c r="J19" s="4" t="str">
        <f t="shared" si="4"/>
        <v>White</v>
      </c>
    </row>
    <row r="20" ht="14.25" customHeight="1">
      <c r="A20" s="1" t="s">
        <v>730</v>
      </c>
      <c r="B20" s="1" t="s">
        <v>246</v>
      </c>
      <c r="C20" s="1" t="s">
        <v>7</v>
      </c>
      <c r="D20" s="1" t="s">
        <v>9</v>
      </c>
      <c r="F20" s="1" t="str">
        <f>IFERROR(__xludf.DUMMYFUNCTION("""COMPUTED_VALUE"""),"127541")</f>
        <v>127541</v>
      </c>
      <c r="G20" s="4" t="str">
        <f t="shared" si="1"/>
        <v>05/15/2023</v>
      </c>
      <c r="H20" s="4" t="str">
        <f t="shared" si="2"/>
        <v>7/13/2016</v>
      </c>
      <c r="I20" s="4" t="str">
        <f t="shared" si="3"/>
        <v>Gold</v>
      </c>
      <c r="J20" s="4" t="str">
        <f t="shared" si="4"/>
        <v>Asian</v>
      </c>
    </row>
    <row r="21" ht="14.25" customHeight="1">
      <c r="A21" s="1" t="s">
        <v>730</v>
      </c>
      <c r="B21" s="1" t="s">
        <v>246</v>
      </c>
      <c r="C21" s="1" t="s">
        <v>5</v>
      </c>
      <c r="D21" s="1" t="s">
        <v>731</v>
      </c>
      <c r="F21" s="1" t="str">
        <f>IFERROR(__xludf.DUMMYFUNCTION("""COMPUTED_VALUE"""),"442783")</f>
        <v>442783</v>
      </c>
      <c r="G21" s="4" t="str">
        <f t="shared" si="1"/>
        <v>05/15/2023</v>
      </c>
      <c r="H21" s="4" t="str">
        <f t="shared" si="2"/>
        <v>12/18/2007</v>
      </c>
      <c r="I21" s="4" t="str">
        <f t="shared" si="3"/>
        <v>Gold</v>
      </c>
      <c r="J21" s="4" t="str">
        <f t="shared" si="4"/>
        <v>Asian</v>
      </c>
    </row>
    <row r="22" ht="14.25" customHeight="1">
      <c r="A22" s="1" t="s">
        <v>730</v>
      </c>
      <c r="B22" s="1" t="s">
        <v>246</v>
      </c>
      <c r="C22" s="1" t="s">
        <v>6</v>
      </c>
      <c r="D22" s="1" t="s">
        <v>15</v>
      </c>
      <c r="F22" s="1" t="str">
        <f>IFERROR(__xludf.DUMMYFUNCTION("""COMPUTED_VALUE"""),"610159")</f>
        <v>610159</v>
      </c>
      <c r="G22" s="4" t="str">
        <f t="shared" si="1"/>
        <v>05/9/2023</v>
      </c>
      <c r="H22" s="4" t="str">
        <f t="shared" si="2"/>
        <v>12/5/2005</v>
      </c>
      <c r="I22" s="4" t="str">
        <f t="shared" si="3"/>
        <v>Gold</v>
      </c>
      <c r="J22" s="4" t="str">
        <f t="shared" si="4"/>
        <v>Black</v>
      </c>
    </row>
    <row r="23" ht="14.25" customHeight="1">
      <c r="A23" s="1" t="s">
        <v>732</v>
      </c>
      <c r="B23" s="1" t="s">
        <v>233</v>
      </c>
      <c r="C23" s="1" t="s">
        <v>7</v>
      </c>
      <c r="D23" s="1" t="s">
        <v>13</v>
      </c>
      <c r="F23" s="1" t="str">
        <f>IFERROR(__xludf.DUMMYFUNCTION("""COMPUTED_VALUE"""),"280225")</f>
        <v>280225</v>
      </c>
      <c r="G23" s="4" t="str">
        <f t="shared" si="1"/>
        <v>05/14/2023</v>
      </c>
      <c r="H23" s="4" t="str">
        <f t="shared" si="2"/>
        <v>8/25/1996</v>
      </c>
      <c r="I23" s="4" t="str">
        <f t="shared" si="3"/>
        <v>Platinum</v>
      </c>
      <c r="J23" s="4" t="str">
        <f t="shared" si="4"/>
        <v>Asian</v>
      </c>
    </row>
    <row r="24" ht="14.25" customHeight="1">
      <c r="A24" s="1" t="s">
        <v>732</v>
      </c>
      <c r="B24" s="1" t="s">
        <v>233</v>
      </c>
      <c r="C24" s="1" t="s">
        <v>5</v>
      </c>
      <c r="D24" s="1" t="s">
        <v>733</v>
      </c>
      <c r="F24" s="1" t="str">
        <f>IFERROR(__xludf.DUMMYFUNCTION("""COMPUTED_VALUE"""),"659716")</f>
        <v>659716</v>
      </c>
      <c r="G24" s="4" t="str">
        <f t="shared" si="1"/>
        <v>05/27/2023</v>
      </c>
      <c r="H24" s="4" t="str">
        <f t="shared" si="2"/>
        <v>11/9/2008</v>
      </c>
      <c r="I24" s="4" t="str">
        <f t="shared" si="3"/>
        <v>Platinum</v>
      </c>
      <c r="J24" s="4" t="str">
        <f t="shared" si="4"/>
        <v>Black</v>
      </c>
    </row>
    <row r="25" ht="14.25" customHeight="1">
      <c r="A25" s="1" t="s">
        <v>732</v>
      </c>
      <c r="B25" s="1" t="s">
        <v>233</v>
      </c>
      <c r="C25" s="1" t="s">
        <v>6</v>
      </c>
      <c r="D25" s="1" t="s">
        <v>15</v>
      </c>
      <c r="F25" s="1" t="str">
        <f>IFERROR(__xludf.DUMMYFUNCTION("""COMPUTED_VALUE"""),"500890")</f>
        <v>500890</v>
      </c>
      <c r="G25" s="4" t="str">
        <f t="shared" si="1"/>
        <v>05/12/2023</v>
      </c>
      <c r="H25" s="4" t="str">
        <f t="shared" si="2"/>
        <v>10/15/1958</v>
      </c>
      <c r="I25" s="4" t="str">
        <f t="shared" si="3"/>
        <v>Basic</v>
      </c>
      <c r="J25" s="4" t="str">
        <f t="shared" si="4"/>
        <v>White</v>
      </c>
    </row>
    <row r="26" ht="14.25" customHeight="1">
      <c r="A26" s="1" t="s">
        <v>734</v>
      </c>
      <c r="B26" s="1" t="s">
        <v>246</v>
      </c>
      <c r="C26" s="1" t="s">
        <v>7</v>
      </c>
      <c r="D26" s="1" t="s">
        <v>9</v>
      </c>
      <c r="F26" s="1" t="str">
        <f>IFERROR(__xludf.DUMMYFUNCTION("""COMPUTED_VALUE"""),"497082")</f>
        <v>497082</v>
      </c>
      <c r="G26" s="4" t="str">
        <f t="shared" si="1"/>
        <v>05/8/2023</v>
      </c>
      <c r="H26" s="4" t="str">
        <f t="shared" si="2"/>
        <v>1/3/1969</v>
      </c>
      <c r="I26" s="4" t="str">
        <f t="shared" si="3"/>
        <v>Platinum</v>
      </c>
      <c r="J26" s="4" t="str">
        <f t="shared" si="4"/>
        <v>Other</v>
      </c>
    </row>
    <row r="27" ht="14.25" customHeight="1">
      <c r="A27" s="1" t="s">
        <v>734</v>
      </c>
      <c r="B27" s="1" t="s">
        <v>246</v>
      </c>
      <c r="C27" s="1" t="s">
        <v>5</v>
      </c>
      <c r="D27" s="1" t="s">
        <v>735</v>
      </c>
      <c r="F27" s="1" t="str">
        <f>IFERROR(__xludf.DUMMYFUNCTION("""COMPUTED_VALUE"""),"397269")</f>
        <v>397269</v>
      </c>
      <c r="G27" s="4" t="str">
        <f t="shared" si="1"/>
        <v>05/3/2023</v>
      </c>
      <c r="H27" s="4" t="str">
        <f t="shared" si="2"/>
        <v>6/8/2001</v>
      </c>
      <c r="I27" s="4" t="str">
        <f t="shared" si="3"/>
        <v>Platinum</v>
      </c>
      <c r="J27" s="4" t="str">
        <f t="shared" si="4"/>
        <v>Other</v>
      </c>
    </row>
    <row r="28" ht="14.25" customHeight="1">
      <c r="A28" s="1" t="s">
        <v>734</v>
      </c>
      <c r="B28" s="1" t="s">
        <v>246</v>
      </c>
      <c r="C28" s="1" t="s">
        <v>6</v>
      </c>
      <c r="D28" s="1" t="s">
        <v>11</v>
      </c>
      <c r="F28" s="1" t="str">
        <f>IFERROR(__xludf.DUMMYFUNCTION("""COMPUTED_VALUE"""),"747682")</f>
        <v>747682</v>
      </c>
      <c r="G28" s="4" t="str">
        <f t="shared" si="1"/>
        <v>05/21/2023</v>
      </c>
      <c r="H28" s="4" t="str">
        <f t="shared" si="2"/>
        <v>12/4/1985</v>
      </c>
      <c r="I28" s="4" t="str">
        <f t="shared" si="3"/>
        <v>Platinum</v>
      </c>
      <c r="J28" s="4" t="str">
        <f t="shared" si="4"/>
        <v>Black</v>
      </c>
    </row>
    <row r="29" ht="14.25" customHeight="1">
      <c r="A29" s="1" t="s">
        <v>736</v>
      </c>
      <c r="B29" s="1" t="s">
        <v>339</v>
      </c>
      <c r="C29" s="1" t="s">
        <v>7</v>
      </c>
      <c r="D29" s="1" t="s">
        <v>25</v>
      </c>
      <c r="F29" s="1" t="str">
        <f>IFERROR(__xludf.DUMMYFUNCTION("""COMPUTED_VALUE"""),"682562")</f>
        <v>682562</v>
      </c>
      <c r="G29" s="4" t="str">
        <f t="shared" si="1"/>
        <v>05/25/2023</v>
      </c>
      <c r="H29" s="4" t="str">
        <f t="shared" si="2"/>
        <v>4/16/1984</v>
      </c>
      <c r="I29" s="4" t="str">
        <f t="shared" si="3"/>
        <v>Basic</v>
      </c>
      <c r="J29" s="4" t="str">
        <f t="shared" si="4"/>
        <v>Black</v>
      </c>
    </row>
    <row r="30" ht="14.25" customHeight="1">
      <c r="A30" s="1" t="s">
        <v>736</v>
      </c>
      <c r="B30" s="1" t="s">
        <v>339</v>
      </c>
      <c r="C30" s="1" t="s">
        <v>5</v>
      </c>
      <c r="D30" s="1" t="s">
        <v>737</v>
      </c>
      <c r="F30" s="1" t="str">
        <f>IFERROR(__xludf.DUMMYFUNCTION("""COMPUTED_VALUE"""),"444025")</f>
        <v>444025</v>
      </c>
      <c r="G30" s="4" t="str">
        <f t="shared" si="1"/>
        <v>05/28/2023</v>
      </c>
      <c r="H30" s="4" t="str">
        <f t="shared" si="2"/>
        <v>4/8/1997</v>
      </c>
      <c r="I30" s="4" t="str">
        <f t="shared" si="3"/>
        <v>Platinum</v>
      </c>
      <c r="J30" s="4" t="str">
        <f t="shared" si="4"/>
        <v>Black</v>
      </c>
    </row>
    <row r="31" ht="14.25" customHeight="1">
      <c r="A31" s="1" t="s">
        <v>736</v>
      </c>
      <c r="B31" s="1" t="s">
        <v>339</v>
      </c>
      <c r="C31" s="1" t="s">
        <v>6</v>
      </c>
      <c r="D31" s="1" t="s">
        <v>11</v>
      </c>
      <c r="F31" s="1" t="str">
        <f>IFERROR(__xludf.DUMMYFUNCTION("""COMPUTED_VALUE"""),"597131")</f>
        <v>597131</v>
      </c>
      <c r="G31" s="4" t="str">
        <f t="shared" si="1"/>
        <v>05/24/2023</v>
      </c>
      <c r="H31" s="4" t="str">
        <f t="shared" si="2"/>
        <v>5/17/1954</v>
      </c>
      <c r="I31" s="4" t="str">
        <f t="shared" si="3"/>
        <v>Gold</v>
      </c>
      <c r="J31" s="4" t="str">
        <f t="shared" si="4"/>
        <v>White</v>
      </c>
    </row>
    <row r="32" ht="14.25" customHeight="1">
      <c r="A32" s="1" t="s">
        <v>738</v>
      </c>
      <c r="B32" s="1" t="s">
        <v>324</v>
      </c>
      <c r="C32" s="1" t="s">
        <v>7</v>
      </c>
      <c r="D32" s="1" t="s">
        <v>13</v>
      </c>
      <c r="F32" s="1" t="str">
        <f>IFERROR(__xludf.DUMMYFUNCTION("""COMPUTED_VALUE"""),"723823")</f>
        <v>723823</v>
      </c>
      <c r="G32" s="4" t="str">
        <f t="shared" si="1"/>
        <v>05/31/2023</v>
      </c>
      <c r="H32" s="4" t="str">
        <f t="shared" si="2"/>
        <v>5/17/2005</v>
      </c>
      <c r="I32" s="4" t="str">
        <f t="shared" si="3"/>
        <v>Basic</v>
      </c>
      <c r="J32" s="4" t="str">
        <f t="shared" si="4"/>
        <v>White</v>
      </c>
    </row>
    <row r="33" ht="14.25" customHeight="1">
      <c r="A33" s="1" t="s">
        <v>738</v>
      </c>
      <c r="B33" s="1" t="s">
        <v>324</v>
      </c>
      <c r="C33" s="1" t="s">
        <v>5</v>
      </c>
      <c r="D33" s="1" t="s">
        <v>739</v>
      </c>
      <c r="F33" s="1" t="str">
        <f>IFERROR(__xludf.DUMMYFUNCTION("""COMPUTED_VALUE"""),"637483")</f>
        <v>637483</v>
      </c>
      <c r="G33" s="4" t="str">
        <f t="shared" si="1"/>
        <v>05/31/2023</v>
      </c>
      <c r="H33" s="4" t="str">
        <f t="shared" si="2"/>
        <v>8/21/2009</v>
      </c>
      <c r="I33" s="4" t="str">
        <f t="shared" si="3"/>
        <v>Basic</v>
      </c>
      <c r="J33" s="4" t="str">
        <f t="shared" si="4"/>
        <v>White</v>
      </c>
    </row>
    <row r="34" ht="14.25" customHeight="1">
      <c r="A34" s="1" t="s">
        <v>738</v>
      </c>
      <c r="B34" s="1" t="s">
        <v>324</v>
      </c>
      <c r="C34" s="1" t="s">
        <v>6</v>
      </c>
      <c r="D34" s="1" t="s">
        <v>21</v>
      </c>
      <c r="F34" s="1" t="str">
        <f>IFERROR(__xludf.DUMMYFUNCTION("""COMPUTED_VALUE"""),"139501")</f>
        <v>139501</v>
      </c>
      <c r="G34" s="4" t="str">
        <f t="shared" si="1"/>
        <v>05/17/2023</v>
      </c>
      <c r="H34" s="4" t="str">
        <f t="shared" si="2"/>
        <v>1/1/1994</v>
      </c>
      <c r="I34" s="4" t="str">
        <f t="shared" si="3"/>
        <v>Basic</v>
      </c>
      <c r="J34" s="4" t="str">
        <f t="shared" si="4"/>
        <v>Asian</v>
      </c>
    </row>
    <row r="35" ht="14.25" customHeight="1">
      <c r="A35" s="1" t="s">
        <v>740</v>
      </c>
      <c r="B35" s="1" t="s">
        <v>239</v>
      </c>
      <c r="C35" s="1" t="s">
        <v>7</v>
      </c>
      <c r="D35" s="1" t="s">
        <v>25</v>
      </c>
      <c r="F35" s="1" t="str">
        <f>IFERROR(__xludf.DUMMYFUNCTION("""COMPUTED_VALUE"""),"662171")</f>
        <v>662171</v>
      </c>
      <c r="G35" s="4" t="str">
        <f t="shared" si="1"/>
        <v>05/5/2023</v>
      </c>
      <c r="H35" s="4" t="str">
        <f t="shared" si="2"/>
        <v>10/22/1943</v>
      </c>
      <c r="I35" s="4" t="str">
        <f t="shared" si="3"/>
        <v>Platinum</v>
      </c>
      <c r="J35" s="4" t="str">
        <f t="shared" si="4"/>
        <v>Black</v>
      </c>
    </row>
    <row r="36" ht="14.25" customHeight="1">
      <c r="A36" s="1" t="s">
        <v>740</v>
      </c>
      <c r="B36" s="1" t="s">
        <v>239</v>
      </c>
      <c r="C36" s="1" t="s">
        <v>5</v>
      </c>
      <c r="D36" s="1" t="s">
        <v>741</v>
      </c>
      <c r="F36" s="1" t="str">
        <f>IFERROR(__xludf.DUMMYFUNCTION("""COMPUTED_VALUE"""),"488942")</f>
        <v>488942</v>
      </c>
      <c r="G36" s="4" t="str">
        <f t="shared" si="1"/>
        <v>05/3/2023</v>
      </c>
      <c r="H36" s="4" t="str">
        <f t="shared" si="2"/>
        <v>12/2/1958</v>
      </c>
      <c r="I36" s="4" t="str">
        <f t="shared" si="3"/>
        <v>Basic</v>
      </c>
      <c r="J36" s="4" t="str">
        <f t="shared" si="4"/>
        <v>Other</v>
      </c>
    </row>
    <row r="37" ht="14.25" customHeight="1">
      <c r="A37" s="1" t="s">
        <v>740</v>
      </c>
      <c r="B37" s="1" t="s">
        <v>239</v>
      </c>
      <c r="C37" s="1" t="s">
        <v>6</v>
      </c>
      <c r="D37" s="1" t="s">
        <v>11</v>
      </c>
      <c r="F37" s="1" t="str">
        <f>IFERROR(__xludf.DUMMYFUNCTION("""COMPUTED_VALUE"""),"800314")</f>
        <v>800314</v>
      </c>
      <c r="G37" s="4" t="str">
        <f t="shared" si="1"/>
        <v>05/12/2023</v>
      </c>
      <c r="H37" s="4" t="str">
        <f t="shared" si="2"/>
        <v>7/20/1963</v>
      </c>
      <c r="I37" s="4" t="str">
        <f t="shared" si="3"/>
        <v>Basic</v>
      </c>
      <c r="J37" s="4" t="str">
        <f t="shared" si="4"/>
        <v>Other</v>
      </c>
    </row>
    <row r="38" ht="14.25" customHeight="1">
      <c r="A38" s="1" t="s">
        <v>742</v>
      </c>
      <c r="B38" s="1" t="s">
        <v>188</v>
      </c>
      <c r="C38" s="1" t="s">
        <v>7</v>
      </c>
      <c r="D38" s="1" t="s">
        <v>13</v>
      </c>
      <c r="F38" s="1" t="str">
        <f>IFERROR(__xludf.DUMMYFUNCTION("""COMPUTED_VALUE"""),"631634")</f>
        <v>631634</v>
      </c>
      <c r="G38" s="4" t="str">
        <f t="shared" si="1"/>
        <v>05/29/2023</v>
      </c>
      <c r="H38" s="4" t="str">
        <f t="shared" si="2"/>
        <v>1/1/1940</v>
      </c>
      <c r="I38" s="4" t="str">
        <f t="shared" si="3"/>
        <v>Basic</v>
      </c>
      <c r="J38" s="4" t="str">
        <f t="shared" si="4"/>
        <v>Asian</v>
      </c>
    </row>
    <row r="39" ht="14.25" customHeight="1">
      <c r="A39" s="1" t="s">
        <v>742</v>
      </c>
      <c r="B39" s="1" t="s">
        <v>188</v>
      </c>
      <c r="C39" s="1" t="s">
        <v>5</v>
      </c>
      <c r="D39" s="1" t="s">
        <v>743</v>
      </c>
      <c r="F39" s="1" t="str">
        <f>IFERROR(__xludf.DUMMYFUNCTION("""COMPUTED_VALUE"""),"773841")</f>
        <v>773841</v>
      </c>
      <c r="G39" s="4" t="str">
        <f t="shared" si="1"/>
        <v>05/19/2023</v>
      </c>
      <c r="H39" s="4" t="str">
        <f t="shared" si="2"/>
        <v>3/18/1990</v>
      </c>
      <c r="I39" s="4" t="str">
        <f t="shared" si="3"/>
        <v>Platinum</v>
      </c>
      <c r="J39" s="4" t="str">
        <f t="shared" si="4"/>
        <v>Other</v>
      </c>
    </row>
    <row r="40" ht="14.25" customHeight="1">
      <c r="A40" s="1" t="s">
        <v>742</v>
      </c>
      <c r="B40" s="1" t="s">
        <v>188</v>
      </c>
      <c r="C40" s="1" t="s">
        <v>6</v>
      </c>
      <c r="D40" s="1" t="s">
        <v>11</v>
      </c>
      <c r="F40" s="1" t="str">
        <f>IFERROR(__xludf.DUMMYFUNCTION("""COMPUTED_VALUE"""),"143337")</f>
        <v>143337</v>
      </c>
      <c r="G40" s="4" t="str">
        <f t="shared" si="1"/>
        <v>05/17/2023</v>
      </c>
      <c r="H40" s="4" t="str">
        <f t="shared" si="2"/>
        <v>6/21/1980</v>
      </c>
      <c r="I40" s="4" t="str">
        <f t="shared" si="3"/>
        <v>Gold</v>
      </c>
      <c r="J40" s="4" t="str">
        <f t="shared" si="4"/>
        <v>Other</v>
      </c>
    </row>
    <row r="41" ht="14.25" customHeight="1">
      <c r="A41" s="1" t="s">
        <v>744</v>
      </c>
      <c r="B41" s="1" t="s">
        <v>264</v>
      </c>
      <c r="C41" s="1" t="s">
        <v>7</v>
      </c>
      <c r="D41" s="1" t="s">
        <v>13</v>
      </c>
      <c r="F41" s="1" t="str">
        <f>IFERROR(__xludf.DUMMYFUNCTION("""COMPUTED_VALUE"""),"199260")</f>
        <v>199260</v>
      </c>
      <c r="G41" s="4" t="str">
        <f t="shared" si="1"/>
        <v>05/10/2023</v>
      </c>
      <c r="H41" s="4" t="str">
        <f t="shared" si="2"/>
        <v>1/31/1992</v>
      </c>
      <c r="I41" s="4" t="str">
        <f t="shared" si="3"/>
        <v>Basic</v>
      </c>
      <c r="J41" s="4" t="str">
        <f t="shared" si="4"/>
        <v>Other</v>
      </c>
    </row>
    <row r="42" ht="14.25" customHeight="1">
      <c r="A42" s="1" t="s">
        <v>744</v>
      </c>
      <c r="B42" s="1" t="s">
        <v>264</v>
      </c>
      <c r="C42" s="1" t="s">
        <v>5</v>
      </c>
      <c r="D42" s="1" t="s">
        <v>745</v>
      </c>
      <c r="F42" s="1" t="str">
        <f>IFERROR(__xludf.DUMMYFUNCTION("""COMPUTED_VALUE"""),"177977")</f>
        <v>177977</v>
      </c>
      <c r="G42" s="4" t="str">
        <f t="shared" si="1"/>
        <v>05/10/2023</v>
      </c>
      <c r="H42" s="4" t="str">
        <f t="shared" si="2"/>
        <v>4/2/1957</v>
      </c>
      <c r="I42" s="4" t="str">
        <f t="shared" si="3"/>
        <v>Basic</v>
      </c>
      <c r="J42" s="4" t="str">
        <f t="shared" si="4"/>
        <v>Asian</v>
      </c>
    </row>
    <row r="43" ht="14.25" customHeight="1">
      <c r="A43" s="1" t="s">
        <v>744</v>
      </c>
      <c r="B43" s="1" t="s">
        <v>264</v>
      </c>
      <c r="C43" s="1" t="s">
        <v>6</v>
      </c>
      <c r="D43" s="1" t="s">
        <v>15</v>
      </c>
      <c r="F43" s="1" t="str">
        <f>IFERROR(__xludf.DUMMYFUNCTION("""COMPUTED_VALUE"""),"633141")</f>
        <v>633141</v>
      </c>
      <c r="G43" s="4" t="str">
        <f t="shared" si="1"/>
        <v>05/30/2023</v>
      </c>
      <c r="H43" s="4" t="str">
        <f t="shared" si="2"/>
        <v>5/20/1943</v>
      </c>
      <c r="I43" s="4" t="str">
        <f t="shared" si="3"/>
        <v>Basic</v>
      </c>
      <c r="J43" s="4" t="str">
        <f t="shared" si="4"/>
        <v>White</v>
      </c>
    </row>
    <row r="44" ht="14.25" customHeight="1">
      <c r="A44" s="1" t="s">
        <v>746</v>
      </c>
      <c r="B44" s="1" t="s">
        <v>182</v>
      </c>
      <c r="C44" s="1" t="s">
        <v>7</v>
      </c>
      <c r="D44" s="1" t="s">
        <v>19</v>
      </c>
      <c r="F44" s="1" t="str">
        <f>IFERROR(__xludf.DUMMYFUNCTION("""COMPUTED_VALUE"""),"884949")</f>
        <v>884949</v>
      </c>
      <c r="G44" s="4" t="str">
        <f t="shared" si="1"/>
        <v>05/31/2023</v>
      </c>
      <c r="H44" s="4" t="str">
        <f t="shared" si="2"/>
        <v>12/3/1943</v>
      </c>
      <c r="I44" s="4" t="str">
        <f t="shared" si="3"/>
        <v>Gold</v>
      </c>
      <c r="J44" s="4" t="str">
        <f t="shared" si="4"/>
        <v>Asian</v>
      </c>
    </row>
    <row r="45" ht="14.25" customHeight="1">
      <c r="A45" s="1" t="s">
        <v>746</v>
      </c>
      <c r="B45" s="1" t="s">
        <v>182</v>
      </c>
      <c r="C45" s="1" t="s">
        <v>5</v>
      </c>
      <c r="D45" s="1" t="s">
        <v>747</v>
      </c>
      <c r="F45" s="1" t="str">
        <f>IFERROR(__xludf.DUMMYFUNCTION("""COMPUTED_VALUE"""),"222860")</f>
        <v>222860</v>
      </c>
      <c r="G45" s="4" t="str">
        <f t="shared" si="1"/>
        <v>05/23/2023</v>
      </c>
      <c r="H45" s="4" t="str">
        <f t="shared" si="2"/>
        <v>2/11/2012</v>
      </c>
      <c r="I45" s="4" t="str">
        <f t="shared" si="3"/>
        <v>Basic</v>
      </c>
      <c r="J45" s="4" t="str">
        <f t="shared" si="4"/>
        <v>Black</v>
      </c>
    </row>
    <row r="46" ht="14.25" customHeight="1">
      <c r="A46" s="1" t="s">
        <v>746</v>
      </c>
      <c r="B46" s="1" t="s">
        <v>182</v>
      </c>
      <c r="C46" s="1" t="s">
        <v>6</v>
      </c>
      <c r="D46" s="1" t="s">
        <v>11</v>
      </c>
      <c r="F46" s="1" t="str">
        <f>IFERROR(__xludf.DUMMYFUNCTION("""COMPUTED_VALUE"""),"843274")</f>
        <v>843274</v>
      </c>
      <c r="G46" s="4" t="str">
        <f t="shared" si="1"/>
        <v>05/22/2023</v>
      </c>
      <c r="H46" s="4" t="str">
        <f t="shared" si="2"/>
        <v>8/11/1941</v>
      </c>
      <c r="I46" s="4" t="str">
        <f t="shared" si="3"/>
        <v>Basic</v>
      </c>
      <c r="J46" s="4" t="str">
        <f t="shared" si="4"/>
        <v>Other</v>
      </c>
    </row>
    <row r="47" ht="14.25" customHeight="1">
      <c r="A47" s="1" t="s">
        <v>748</v>
      </c>
      <c r="B47" s="1" t="s">
        <v>264</v>
      </c>
      <c r="C47" s="1" t="s">
        <v>7</v>
      </c>
      <c r="D47" s="1" t="s">
        <v>25</v>
      </c>
      <c r="F47" s="1" t="str">
        <f>IFERROR(__xludf.DUMMYFUNCTION("""COMPUTED_VALUE"""),"261620")</f>
        <v>261620</v>
      </c>
      <c r="G47" s="4" t="str">
        <f t="shared" si="1"/>
        <v>05/7/2023</v>
      </c>
      <c r="H47" s="4" t="str">
        <f t="shared" si="2"/>
        <v>7/30/1990</v>
      </c>
      <c r="I47" s="4" t="str">
        <f t="shared" si="3"/>
        <v>Gold</v>
      </c>
      <c r="J47" s="4" t="str">
        <f t="shared" si="4"/>
        <v>Black</v>
      </c>
    </row>
    <row r="48" ht="14.25" customHeight="1">
      <c r="A48" s="1" t="s">
        <v>748</v>
      </c>
      <c r="B48" s="1" t="s">
        <v>264</v>
      </c>
      <c r="C48" s="1" t="s">
        <v>5</v>
      </c>
      <c r="D48" s="1" t="s">
        <v>749</v>
      </c>
      <c r="F48" s="1" t="str">
        <f>IFERROR(__xludf.DUMMYFUNCTION("""COMPUTED_VALUE"""),"738405")</f>
        <v>738405</v>
      </c>
      <c r="G48" s="4" t="str">
        <f t="shared" si="1"/>
        <v>05/2/2023</v>
      </c>
      <c r="H48" s="4" t="str">
        <f t="shared" si="2"/>
        <v>10/12/1952</v>
      </c>
      <c r="I48" s="4" t="str">
        <f t="shared" si="3"/>
        <v>Basic</v>
      </c>
      <c r="J48" s="4" t="str">
        <f t="shared" si="4"/>
        <v>Asian</v>
      </c>
    </row>
    <row r="49" ht="14.25" customHeight="1">
      <c r="A49" s="1" t="s">
        <v>748</v>
      </c>
      <c r="B49" s="1" t="s">
        <v>264</v>
      </c>
      <c r="C49" s="1" t="s">
        <v>6</v>
      </c>
      <c r="D49" s="1" t="s">
        <v>11</v>
      </c>
      <c r="F49" s="1" t="str">
        <f>IFERROR(__xludf.DUMMYFUNCTION("""COMPUTED_VALUE"""),"209144")</f>
        <v>209144</v>
      </c>
      <c r="G49" s="4" t="str">
        <f t="shared" si="1"/>
        <v>05/2/2023</v>
      </c>
      <c r="H49" s="4" t="str">
        <f t="shared" si="2"/>
        <v>11/22/1948</v>
      </c>
      <c r="I49" s="4" t="str">
        <f t="shared" si="3"/>
        <v>Basic</v>
      </c>
      <c r="J49" s="4" t="str">
        <f t="shared" si="4"/>
        <v>Black</v>
      </c>
    </row>
    <row r="50" ht="14.25" customHeight="1">
      <c r="A50" s="1" t="s">
        <v>750</v>
      </c>
      <c r="B50" s="1" t="s">
        <v>264</v>
      </c>
      <c r="C50" s="1" t="s">
        <v>7</v>
      </c>
      <c r="D50" s="1" t="s">
        <v>25</v>
      </c>
      <c r="F50" s="1" t="str">
        <f>IFERROR(__xludf.DUMMYFUNCTION("""COMPUTED_VALUE"""),"549243")</f>
        <v>549243</v>
      </c>
      <c r="G50" s="4" t="str">
        <f t="shared" si="1"/>
        <v>05/1/2023</v>
      </c>
      <c r="H50" s="4" t="str">
        <f t="shared" si="2"/>
        <v>6/7/1947</v>
      </c>
      <c r="I50" s="4" t="str">
        <f t="shared" si="3"/>
        <v>Gold</v>
      </c>
      <c r="J50" s="4" t="str">
        <f t="shared" si="4"/>
        <v>Black</v>
      </c>
    </row>
    <row r="51" ht="14.25" customHeight="1">
      <c r="A51" s="1" t="s">
        <v>750</v>
      </c>
      <c r="B51" s="1" t="s">
        <v>264</v>
      </c>
      <c r="C51" s="1" t="s">
        <v>5</v>
      </c>
      <c r="D51" s="1" t="s">
        <v>751</v>
      </c>
      <c r="F51" s="1" t="str">
        <f>IFERROR(__xludf.DUMMYFUNCTION("""COMPUTED_VALUE"""),"189930")</f>
        <v>189930</v>
      </c>
      <c r="G51" s="4" t="str">
        <f t="shared" si="1"/>
        <v>05/5/2023</v>
      </c>
      <c r="H51" s="4" t="str">
        <f t="shared" si="2"/>
        <v>1/9/1983</v>
      </c>
      <c r="I51" s="4" t="str">
        <f t="shared" si="3"/>
        <v>Gold</v>
      </c>
      <c r="J51" s="4" t="str">
        <f t="shared" si="4"/>
        <v>White</v>
      </c>
    </row>
    <row r="52" ht="14.25" customHeight="1">
      <c r="A52" s="1" t="s">
        <v>750</v>
      </c>
      <c r="B52" s="1" t="s">
        <v>264</v>
      </c>
      <c r="C52" s="1" t="s">
        <v>6</v>
      </c>
      <c r="D52" s="1" t="s">
        <v>11</v>
      </c>
      <c r="F52" s="1" t="str">
        <f>IFERROR(__xludf.DUMMYFUNCTION("""COMPUTED_VALUE"""),"522270")</f>
        <v>522270</v>
      </c>
      <c r="G52" s="4" t="str">
        <f t="shared" si="1"/>
        <v>05/1/2023</v>
      </c>
      <c r="H52" s="4" t="str">
        <f t="shared" si="2"/>
        <v>11/21/1940</v>
      </c>
      <c r="I52" s="4" t="str">
        <f t="shared" si="3"/>
        <v>Basic</v>
      </c>
      <c r="J52" s="4" t="str">
        <f t="shared" si="4"/>
        <v>Black</v>
      </c>
    </row>
    <row r="53" ht="14.25" customHeight="1">
      <c r="A53" s="1" t="s">
        <v>752</v>
      </c>
      <c r="B53" s="1" t="s">
        <v>292</v>
      </c>
      <c r="C53" s="1" t="s">
        <v>7</v>
      </c>
      <c r="D53" s="1" t="s">
        <v>13</v>
      </c>
      <c r="F53" s="1" t="str">
        <f>IFERROR(__xludf.DUMMYFUNCTION("""COMPUTED_VALUE"""),"293145")</f>
        <v>293145</v>
      </c>
      <c r="G53" s="4" t="str">
        <f t="shared" si="1"/>
        <v>05/29/2023</v>
      </c>
      <c r="H53" s="4" t="str">
        <f t="shared" si="2"/>
        <v>8/7/1989</v>
      </c>
      <c r="I53" s="4" t="str">
        <f t="shared" si="3"/>
        <v>Gold</v>
      </c>
      <c r="J53" s="4" t="str">
        <f t="shared" si="4"/>
        <v>Black</v>
      </c>
    </row>
    <row r="54" ht="14.25" customHeight="1">
      <c r="A54" s="1" t="s">
        <v>752</v>
      </c>
      <c r="B54" s="1" t="s">
        <v>292</v>
      </c>
      <c r="C54" s="1" t="s">
        <v>5</v>
      </c>
      <c r="D54" s="1" t="s">
        <v>753</v>
      </c>
      <c r="F54" s="1" t="str">
        <f>IFERROR(__xludf.DUMMYFUNCTION("""COMPUTED_VALUE"""),"520059")</f>
        <v>520059</v>
      </c>
      <c r="G54" s="4" t="str">
        <f t="shared" si="1"/>
        <v>05/2/2023</v>
      </c>
      <c r="H54" s="4" t="str">
        <f t="shared" si="2"/>
        <v>1/26/1942</v>
      </c>
      <c r="I54" s="4" t="str">
        <f t="shared" si="3"/>
        <v>Gold</v>
      </c>
      <c r="J54" s="4" t="str">
        <f t="shared" si="4"/>
        <v>Asian</v>
      </c>
    </row>
    <row r="55" ht="14.25" customHeight="1">
      <c r="A55" s="1" t="s">
        <v>752</v>
      </c>
      <c r="B55" s="1" t="s">
        <v>292</v>
      </c>
      <c r="C55" s="1" t="s">
        <v>6</v>
      </c>
      <c r="D55" s="1" t="s">
        <v>15</v>
      </c>
      <c r="F55" s="1" t="str">
        <f>IFERROR(__xludf.DUMMYFUNCTION("""COMPUTED_VALUE"""),"219792")</f>
        <v>219792</v>
      </c>
      <c r="G55" s="4" t="str">
        <f t="shared" si="1"/>
        <v>05/12/2023</v>
      </c>
      <c r="H55" s="4" t="str">
        <f t="shared" si="2"/>
        <v>4/21/2003</v>
      </c>
      <c r="I55" s="4" t="str">
        <f t="shared" si="3"/>
        <v>Gold</v>
      </c>
      <c r="J55" s="4" t="str">
        <f t="shared" si="4"/>
        <v>Black</v>
      </c>
    </row>
    <row r="56" ht="14.25" customHeight="1">
      <c r="A56" s="1" t="s">
        <v>754</v>
      </c>
      <c r="B56" s="1" t="s">
        <v>264</v>
      </c>
      <c r="C56" s="1" t="s">
        <v>7</v>
      </c>
      <c r="D56" s="1" t="s">
        <v>19</v>
      </c>
      <c r="F56" s="1" t="str">
        <f>IFERROR(__xludf.DUMMYFUNCTION("""COMPUTED_VALUE"""),"509391")</f>
        <v>509391</v>
      </c>
      <c r="G56" s="4" t="str">
        <f t="shared" si="1"/>
        <v>05/27/2023</v>
      </c>
      <c r="H56" s="4" t="str">
        <f t="shared" si="2"/>
        <v>11/6/1947</v>
      </c>
      <c r="I56" s="4" t="str">
        <f t="shared" si="3"/>
        <v>Platinum</v>
      </c>
      <c r="J56" s="4" t="str">
        <f t="shared" si="4"/>
        <v>Other</v>
      </c>
    </row>
    <row r="57" ht="14.25" customHeight="1">
      <c r="A57" s="1" t="s">
        <v>754</v>
      </c>
      <c r="B57" s="1" t="s">
        <v>264</v>
      </c>
      <c r="C57" s="1" t="s">
        <v>5</v>
      </c>
      <c r="D57" s="1" t="s">
        <v>755</v>
      </c>
      <c r="F57" s="1" t="str">
        <f>IFERROR(__xludf.DUMMYFUNCTION("""COMPUTED_VALUE"""),"985783")</f>
        <v>985783</v>
      </c>
      <c r="G57" s="4" t="str">
        <f t="shared" si="1"/>
        <v>05/6/2023</v>
      </c>
      <c r="H57" s="4" t="str">
        <f t="shared" si="2"/>
        <v>3/28/1951</v>
      </c>
      <c r="I57" s="4" t="str">
        <f t="shared" si="3"/>
        <v>Basic</v>
      </c>
      <c r="J57" s="4" t="str">
        <f t="shared" si="4"/>
        <v>Asian</v>
      </c>
    </row>
    <row r="58" ht="14.25" customHeight="1">
      <c r="A58" s="1" t="s">
        <v>754</v>
      </c>
      <c r="B58" s="1" t="s">
        <v>264</v>
      </c>
      <c r="C58" s="1" t="s">
        <v>6</v>
      </c>
      <c r="D58" s="1" t="s">
        <v>15</v>
      </c>
      <c r="F58" s="1" t="str">
        <f>IFERROR(__xludf.DUMMYFUNCTION("""COMPUTED_VALUE"""),"838883")</f>
        <v>838883</v>
      </c>
      <c r="G58" s="4" t="str">
        <f t="shared" si="1"/>
        <v>05/29/2023</v>
      </c>
      <c r="H58" s="4" t="str">
        <f t="shared" si="2"/>
        <v>12/10/1980</v>
      </c>
      <c r="I58" s="4" t="str">
        <f t="shared" si="3"/>
        <v>Basic</v>
      </c>
      <c r="J58" s="4" t="str">
        <f t="shared" si="4"/>
        <v>White</v>
      </c>
    </row>
    <row r="59" ht="14.25" customHeight="1">
      <c r="A59" s="1" t="s">
        <v>756</v>
      </c>
      <c r="B59" s="1" t="s">
        <v>264</v>
      </c>
      <c r="C59" s="1" t="s">
        <v>7</v>
      </c>
      <c r="D59" s="1" t="s">
        <v>19</v>
      </c>
      <c r="F59" s="1" t="str">
        <f>IFERROR(__xludf.DUMMYFUNCTION("""COMPUTED_VALUE"""),"367979")</f>
        <v>367979</v>
      </c>
      <c r="G59" s="4" t="str">
        <f t="shared" si="1"/>
        <v>05/18/2023</v>
      </c>
      <c r="H59" s="4" t="str">
        <f t="shared" si="2"/>
        <v>9/15/1983</v>
      </c>
      <c r="I59" s="4" t="str">
        <f t="shared" si="3"/>
        <v>Basic</v>
      </c>
      <c r="J59" s="4" t="str">
        <f t="shared" si="4"/>
        <v>Black</v>
      </c>
    </row>
    <row r="60" ht="14.25" customHeight="1">
      <c r="A60" s="1" t="s">
        <v>756</v>
      </c>
      <c r="B60" s="1" t="s">
        <v>264</v>
      </c>
      <c r="C60" s="1" t="s">
        <v>5</v>
      </c>
      <c r="D60" s="1" t="s">
        <v>757</v>
      </c>
      <c r="F60" s="1" t="str">
        <f>IFERROR(__xludf.DUMMYFUNCTION("""COMPUTED_VALUE"""),"366023")</f>
        <v>366023</v>
      </c>
      <c r="G60" s="4" t="str">
        <f t="shared" si="1"/>
        <v>05/2/2023</v>
      </c>
      <c r="H60" s="4" t="str">
        <f t="shared" si="2"/>
        <v>1/1/1986</v>
      </c>
      <c r="I60" s="4" t="str">
        <f t="shared" si="3"/>
        <v>Basic</v>
      </c>
      <c r="J60" s="4" t="str">
        <f t="shared" si="4"/>
        <v>Asian</v>
      </c>
    </row>
    <row r="61" ht="14.25" customHeight="1">
      <c r="A61" s="1" t="s">
        <v>756</v>
      </c>
      <c r="B61" s="1" t="s">
        <v>264</v>
      </c>
      <c r="C61" s="1" t="s">
        <v>6</v>
      </c>
      <c r="D61" s="1" t="s">
        <v>15</v>
      </c>
      <c r="F61" s="1" t="str">
        <f>IFERROR(__xludf.DUMMYFUNCTION("""COMPUTED_VALUE"""),"459470")</f>
        <v>459470</v>
      </c>
      <c r="G61" s="4" t="str">
        <f t="shared" si="1"/>
        <v>05/10/2023</v>
      </c>
      <c r="H61" s="4" t="str">
        <f t="shared" si="2"/>
        <v>9/13/1987</v>
      </c>
      <c r="I61" s="4" t="str">
        <f t="shared" si="3"/>
        <v>Platinum</v>
      </c>
      <c r="J61" s="4" t="str">
        <f t="shared" si="4"/>
        <v>Black</v>
      </c>
    </row>
    <row r="62" ht="14.25" customHeight="1">
      <c r="A62" s="1" t="s">
        <v>758</v>
      </c>
      <c r="B62" s="1" t="s">
        <v>197</v>
      </c>
      <c r="C62" s="1" t="s">
        <v>7</v>
      </c>
      <c r="D62" s="1" t="s">
        <v>25</v>
      </c>
      <c r="F62" s="1" t="str">
        <f>IFERROR(__xludf.DUMMYFUNCTION("""COMPUTED_VALUE"""),"875629")</f>
        <v>875629</v>
      </c>
      <c r="G62" s="4" t="str">
        <f t="shared" si="1"/>
        <v>05/20/2023</v>
      </c>
      <c r="H62" s="4" t="str">
        <f t="shared" si="2"/>
        <v>6/4/1950</v>
      </c>
      <c r="I62" s="4" t="str">
        <f t="shared" si="3"/>
        <v>Basic</v>
      </c>
      <c r="J62" s="4" t="str">
        <f t="shared" si="4"/>
        <v>Other</v>
      </c>
    </row>
    <row r="63" ht="14.25" customHeight="1">
      <c r="A63" s="1" t="s">
        <v>758</v>
      </c>
      <c r="B63" s="1" t="s">
        <v>197</v>
      </c>
      <c r="C63" s="1" t="s">
        <v>5</v>
      </c>
      <c r="D63" s="1" t="s">
        <v>759</v>
      </c>
      <c r="F63" s="1" t="str">
        <f>IFERROR(__xludf.DUMMYFUNCTION("""COMPUTED_VALUE"""),"514214")</f>
        <v>514214</v>
      </c>
      <c r="G63" s="4" t="str">
        <f t="shared" si="1"/>
        <v>05/9/2023</v>
      </c>
      <c r="H63" s="4" t="str">
        <f t="shared" si="2"/>
        <v>7/9/1941</v>
      </c>
      <c r="I63" s="4" t="str">
        <f t="shared" si="3"/>
        <v>Platinum</v>
      </c>
      <c r="J63" s="4" t="str">
        <f t="shared" si="4"/>
        <v>Other</v>
      </c>
    </row>
    <row r="64" ht="14.25" customHeight="1">
      <c r="A64" s="1" t="s">
        <v>758</v>
      </c>
      <c r="B64" s="1" t="s">
        <v>197</v>
      </c>
      <c r="C64" s="1" t="s">
        <v>6</v>
      </c>
      <c r="D64" s="1" t="s">
        <v>15</v>
      </c>
      <c r="F64" s="1" t="str">
        <f>IFERROR(__xludf.DUMMYFUNCTION("""COMPUTED_VALUE"""),"546645")</f>
        <v>546645</v>
      </c>
      <c r="G64" s="4" t="str">
        <f t="shared" si="1"/>
        <v>05/24/2023</v>
      </c>
      <c r="H64" s="4" t="str">
        <f t="shared" si="2"/>
        <v>9/6/1971</v>
      </c>
      <c r="I64" s="4" t="str">
        <f t="shared" si="3"/>
        <v>Gold</v>
      </c>
      <c r="J64" s="4" t="str">
        <f t="shared" si="4"/>
        <v>Asian</v>
      </c>
    </row>
    <row r="65" ht="14.25" customHeight="1">
      <c r="A65" s="1" t="s">
        <v>760</v>
      </c>
      <c r="B65" s="1" t="s">
        <v>214</v>
      </c>
      <c r="C65" s="1" t="s">
        <v>7</v>
      </c>
      <c r="D65" s="1" t="s">
        <v>19</v>
      </c>
      <c r="F65" s="1" t="str">
        <f>IFERROR(__xludf.DUMMYFUNCTION("""COMPUTED_VALUE"""),"300208")</f>
        <v>300208</v>
      </c>
      <c r="G65" s="4" t="str">
        <f t="shared" si="1"/>
        <v>05/11/2023</v>
      </c>
      <c r="H65" s="4" t="str">
        <f t="shared" si="2"/>
        <v>4/3/2008</v>
      </c>
      <c r="I65" s="4" t="str">
        <f t="shared" si="3"/>
        <v>Gold</v>
      </c>
      <c r="J65" s="4" t="str">
        <f t="shared" si="4"/>
        <v>White</v>
      </c>
    </row>
    <row r="66" ht="14.25" customHeight="1">
      <c r="A66" s="1" t="s">
        <v>760</v>
      </c>
      <c r="B66" s="1" t="s">
        <v>214</v>
      </c>
      <c r="C66" s="1" t="s">
        <v>5</v>
      </c>
      <c r="D66" s="1" t="s">
        <v>761</v>
      </c>
      <c r="F66" s="1" t="str">
        <f>IFERROR(__xludf.DUMMYFUNCTION("""COMPUTED_VALUE"""),"512509")</f>
        <v>512509</v>
      </c>
      <c r="G66" s="4" t="str">
        <f t="shared" si="1"/>
        <v>05/22/2023</v>
      </c>
      <c r="H66" s="4" t="str">
        <f t="shared" si="2"/>
        <v>4/16/1991</v>
      </c>
      <c r="I66" s="4" t="str">
        <f t="shared" si="3"/>
        <v>Gold</v>
      </c>
      <c r="J66" s="4" t="str">
        <f t="shared" si="4"/>
        <v>White</v>
      </c>
    </row>
    <row r="67" ht="14.25" customHeight="1">
      <c r="A67" s="1" t="s">
        <v>760</v>
      </c>
      <c r="B67" s="1" t="s">
        <v>214</v>
      </c>
      <c r="C67" s="1" t="s">
        <v>6</v>
      </c>
      <c r="D67" s="1" t="s">
        <v>11</v>
      </c>
      <c r="F67" s="1" t="str">
        <f>IFERROR(__xludf.DUMMYFUNCTION("""COMPUTED_VALUE"""),"930802")</f>
        <v>930802</v>
      </c>
      <c r="G67" s="4" t="str">
        <f t="shared" si="1"/>
        <v>05/14/2023</v>
      </c>
      <c r="H67" s="4" t="str">
        <f t="shared" si="2"/>
        <v>2/18/2018</v>
      </c>
      <c r="I67" s="4" t="str">
        <f t="shared" si="3"/>
        <v>Gold</v>
      </c>
      <c r="J67" s="4" t="str">
        <f t="shared" si="4"/>
        <v>Asian</v>
      </c>
    </row>
    <row r="68" ht="14.25" customHeight="1">
      <c r="A68" s="1" t="s">
        <v>762</v>
      </c>
      <c r="B68" s="1" t="s">
        <v>203</v>
      </c>
      <c r="C68" s="1" t="s">
        <v>7</v>
      </c>
      <c r="D68" s="1" t="s">
        <v>25</v>
      </c>
      <c r="F68" s="1" t="str">
        <f>IFERROR(__xludf.DUMMYFUNCTION("""COMPUTED_VALUE"""),"730864")</f>
        <v>730864</v>
      </c>
      <c r="G68" s="4" t="str">
        <f t="shared" si="1"/>
        <v>05/24/2023</v>
      </c>
      <c r="H68" s="4" t="str">
        <f t="shared" si="2"/>
        <v>4/26/2015</v>
      </c>
      <c r="I68" s="4" t="str">
        <f t="shared" si="3"/>
        <v>Gold</v>
      </c>
      <c r="J68" s="4" t="str">
        <f t="shared" si="4"/>
        <v>Other</v>
      </c>
    </row>
    <row r="69" ht="14.25" customHeight="1">
      <c r="A69" s="1" t="s">
        <v>762</v>
      </c>
      <c r="B69" s="1" t="s">
        <v>203</v>
      </c>
      <c r="C69" s="1" t="s">
        <v>5</v>
      </c>
      <c r="D69" s="1" t="s">
        <v>763</v>
      </c>
      <c r="F69" s="1" t="str">
        <f>IFERROR(__xludf.DUMMYFUNCTION("""COMPUTED_VALUE"""),"215044")</f>
        <v>215044</v>
      </c>
      <c r="G69" s="4" t="str">
        <f t="shared" si="1"/>
        <v>05/9/2023</v>
      </c>
      <c r="H69" s="4" t="str">
        <f t="shared" si="2"/>
        <v>9/11/2011</v>
      </c>
      <c r="I69" s="4" t="str">
        <f t="shared" si="3"/>
        <v>Basic</v>
      </c>
      <c r="J69" s="4" t="str">
        <f t="shared" si="4"/>
        <v>White</v>
      </c>
    </row>
    <row r="70" ht="14.25" customHeight="1">
      <c r="A70" s="1" t="s">
        <v>762</v>
      </c>
      <c r="B70" s="1" t="s">
        <v>203</v>
      </c>
      <c r="C70" s="1" t="s">
        <v>6</v>
      </c>
      <c r="D70" s="1" t="s">
        <v>11</v>
      </c>
      <c r="F70" s="1" t="str">
        <f>IFERROR(__xludf.DUMMYFUNCTION("""COMPUTED_VALUE"""),"525493")</f>
        <v>525493</v>
      </c>
      <c r="G70" s="4" t="str">
        <f t="shared" si="1"/>
        <v>05/21/2023</v>
      </c>
      <c r="H70" s="4" t="str">
        <f t="shared" si="2"/>
        <v>3/28/1976</v>
      </c>
      <c r="I70" s="4" t="str">
        <f t="shared" si="3"/>
        <v>Platinum</v>
      </c>
      <c r="J70" s="4" t="str">
        <f t="shared" si="4"/>
        <v>Other</v>
      </c>
    </row>
    <row r="71" ht="14.25" customHeight="1">
      <c r="A71" s="1" t="s">
        <v>764</v>
      </c>
      <c r="B71" s="1" t="s">
        <v>324</v>
      </c>
      <c r="C71" s="1" t="s">
        <v>7</v>
      </c>
      <c r="D71" s="1" t="s">
        <v>13</v>
      </c>
      <c r="F71" s="1" t="str">
        <f>IFERROR(__xludf.DUMMYFUNCTION("""COMPUTED_VALUE"""),"159526")</f>
        <v>159526</v>
      </c>
      <c r="G71" s="4" t="str">
        <f t="shared" si="1"/>
        <v>05/9/2023</v>
      </c>
      <c r="H71" s="4" t="str">
        <f t="shared" si="2"/>
        <v>12/22/1986</v>
      </c>
      <c r="I71" s="4" t="str">
        <f t="shared" si="3"/>
        <v>Basic</v>
      </c>
      <c r="J71" s="4" t="str">
        <f t="shared" si="4"/>
        <v>Asian</v>
      </c>
    </row>
    <row r="72" ht="14.25" customHeight="1">
      <c r="A72" s="1" t="s">
        <v>764</v>
      </c>
      <c r="B72" s="1" t="s">
        <v>324</v>
      </c>
      <c r="C72" s="1" t="s">
        <v>5</v>
      </c>
      <c r="D72" s="1" t="s">
        <v>765</v>
      </c>
      <c r="F72" s="1" t="str">
        <f>IFERROR(__xludf.DUMMYFUNCTION("""COMPUTED_VALUE"""),"366251")</f>
        <v>366251</v>
      </c>
      <c r="G72" s="4" t="str">
        <f t="shared" si="1"/>
        <v>05/22/2023</v>
      </c>
      <c r="H72" s="4" t="str">
        <f t="shared" si="2"/>
        <v>8/28/1963</v>
      </c>
      <c r="I72" s="4" t="str">
        <f t="shared" si="3"/>
        <v>Gold</v>
      </c>
      <c r="J72" s="4" t="str">
        <f t="shared" si="4"/>
        <v>Other</v>
      </c>
    </row>
    <row r="73" ht="14.25" customHeight="1">
      <c r="A73" s="1" t="s">
        <v>764</v>
      </c>
      <c r="B73" s="1" t="s">
        <v>324</v>
      </c>
      <c r="C73" s="1" t="s">
        <v>6</v>
      </c>
      <c r="D73" s="1" t="s">
        <v>21</v>
      </c>
      <c r="F73" s="1" t="str">
        <f>IFERROR(__xludf.DUMMYFUNCTION("""COMPUTED_VALUE"""),"490418")</f>
        <v>490418</v>
      </c>
      <c r="G73" s="4" t="str">
        <f t="shared" si="1"/>
        <v>05/2/2023</v>
      </c>
      <c r="H73" s="4" t="str">
        <f t="shared" si="2"/>
        <v>9/29/1950</v>
      </c>
      <c r="I73" s="4" t="str">
        <f t="shared" si="3"/>
        <v>Basic</v>
      </c>
      <c r="J73" s="4" t="str">
        <f t="shared" si="4"/>
        <v>White</v>
      </c>
    </row>
    <row r="74" ht="14.25" customHeight="1">
      <c r="A74" s="1" t="s">
        <v>766</v>
      </c>
      <c r="B74" s="1" t="s">
        <v>191</v>
      </c>
      <c r="C74" s="1" t="s">
        <v>7</v>
      </c>
      <c r="D74" s="1" t="s">
        <v>9</v>
      </c>
      <c r="F74" s="1" t="str">
        <f>IFERROR(__xludf.DUMMYFUNCTION("""COMPUTED_VALUE"""),"100185")</f>
        <v>100185</v>
      </c>
      <c r="G74" s="4" t="str">
        <f t="shared" si="1"/>
        <v>05/20/2023</v>
      </c>
      <c r="H74" s="4" t="str">
        <f t="shared" si="2"/>
        <v>7/29/1952</v>
      </c>
      <c r="I74" s="4" t="str">
        <f t="shared" si="3"/>
        <v>Basic</v>
      </c>
      <c r="J74" s="4" t="str">
        <f t="shared" si="4"/>
        <v>Asian</v>
      </c>
    </row>
    <row r="75" ht="14.25" customHeight="1">
      <c r="A75" s="1" t="s">
        <v>766</v>
      </c>
      <c r="B75" s="1" t="s">
        <v>191</v>
      </c>
      <c r="C75" s="1" t="s">
        <v>5</v>
      </c>
      <c r="D75" s="1" t="s">
        <v>767</v>
      </c>
      <c r="F75" s="1" t="str">
        <f>IFERROR(__xludf.DUMMYFUNCTION("""COMPUTED_VALUE"""),"586258")</f>
        <v>586258</v>
      </c>
      <c r="G75" s="4" t="str">
        <f t="shared" si="1"/>
        <v>05/30/2023</v>
      </c>
      <c r="H75" s="4" t="str">
        <f t="shared" si="2"/>
        <v>12/12/2018</v>
      </c>
      <c r="I75" s="4" t="str">
        <f t="shared" si="3"/>
        <v>Platinum</v>
      </c>
      <c r="J75" s="4" t="str">
        <f t="shared" si="4"/>
        <v>Black</v>
      </c>
    </row>
    <row r="76" ht="14.25" customHeight="1">
      <c r="A76" s="1" t="s">
        <v>766</v>
      </c>
      <c r="B76" s="1" t="s">
        <v>191</v>
      </c>
      <c r="C76" s="1" t="s">
        <v>6</v>
      </c>
      <c r="D76" s="1" t="s">
        <v>11</v>
      </c>
      <c r="F76" s="1" t="str">
        <f>IFERROR(__xludf.DUMMYFUNCTION("""COMPUTED_VALUE"""),"352584")</f>
        <v>352584</v>
      </c>
      <c r="G76" s="4" t="str">
        <f t="shared" si="1"/>
        <v>05/16/2023</v>
      </c>
      <c r="H76" s="4" t="str">
        <f t="shared" si="2"/>
        <v>6/13/2000</v>
      </c>
      <c r="I76" s="4" t="str">
        <f t="shared" si="3"/>
        <v>Basic</v>
      </c>
      <c r="J76" s="4" t="str">
        <f t="shared" si="4"/>
        <v>Black</v>
      </c>
    </row>
    <row r="77" ht="14.25" customHeight="1">
      <c r="A77" s="1" t="s">
        <v>768</v>
      </c>
      <c r="B77" s="1" t="s">
        <v>292</v>
      </c>
      <c r="C77" s="1" t="s">
        <v>7</v>
      </c>
      <c r="D77" s="1" t="s">
        <v>9</v>
      </c>
      <c r="F77" s="1" t="str">
        <f>IFERROR(__xludf.DUMMYFUNCTION("""COMPUTED_VALUE"""),"248692")</f>
        <v>248692</v>
      </c>
      <c r="G77" s="4" t="str">
        <f t="shared" si="1"/>
        <v>05/1/2023</v>
      </c>
      <c r="H77" s="4" t="str">
        <f t="shared" si="2"/>
        <v>3/10/1949</v>
      </c>
      <c r="I77" s="4" t="str">
        <f t="shared" si="3"/>
        <v>Basic</v>
      </c>
      <c r="J77" s="4" t="str">
        <f t="shared" si="4"/>
        <v>Black</v>
      </c>
    </row>
    <row r="78" ht="14.25" customHeight="1">
      <c r="A78" s="1" t="s">
        <v>768</v>
      </c>
      <c r="B78" s="1" t="s">
        <v>292</v>
      </c>
      <c r="C78" s="1" t="s">
        <v>5</v>
      </c>
      <c r="D78" s="1" t="s">
        <v>769</v>
      </c>
      <c r="F78" s="1"/>
    </row>
    <row r="79" ht="14.25" customHeight="1">
      <c r="A79" s="1" t="s">
        <v>768</v>
      </c>
      <c r="B79" s="1" t="s">
        <v>292</v>
      </c>
      <c r="C79" s="1" t="s">
        <v>6</v>
      </c>
      <c r="D79" s="1" t="s">
        <v>11</v>
      </c>
    </row>
    <row r="80" ht="14.25" customHeight="1">
      <c r="A80" s="1" t="s">
        <v>770</v>
      </c>
      <c r="B80" s="1" t="s">
        <v>339</v>
      </c>
      <c r="C80" s="1" t="s">
        <v>7</v>
      </c>
      <c r="D80" s="1" t="s">
        <v>25</v>
      </c>
    </row>
    <row r="81" ht="14.25" customHeight="1">
      <c r="A81" s="1" t="s">
        <v>770</v>
      </c>
      <c r="B81" s="1" t="s">
        <v>339</v>
      </c>
      <c r="C81" s="1" t="s">
        <v>5</v>
      </c>
      <c r="D81" s="1" t="s">
        <v>771</v>
      </c>
    </row>
    <row r="82" ht="14.25" customHeight="1">
      <c r="A82" s="1" t="s">
        <v>770</v>
      </c>
      <c r="B82" s="1" t="s">
        <v>339</v>
      </c>
      <c r="C82" s="1" t="s">
        <v>6</v>
      </c>
      <c r="D82" s="1" t="s">
        <v>11</v>
      </c>
    </row>
    <row r="83" ht="14.25" customHeight="1">
      <c r="A83" s="1" t="s">
        <v>772</v>
      </c>
      <c r="B83" s="1" t="s">
        <v>208</v>
      </c>
      <c r="C83" s="1" t="s">
        <v>7</v>
      </c>
      <c r="D83" s="1" t="s">
        <v>25</v>
      </c>
    </row>
    <row r="84" ht="14.25" customHeight="1">
      <c r="A84" s="1" t="s">
        <v>772</v>
      </c>
      <c r="B84" s="1" t="s">
        <v>208</v>
      </c>
      <c r="C84" s="1" t="s">
        <v>5</v>
      </c>
      <c r="D84" s="1" t="s">
        <v>773</v>
      </c>
    </row>
    <row r="85" ht="14.25" customHeight="1">
      <c r="A85" s="1" t="s">
        <v>772</v>
      </c>
      <c r="B85" s="1" t="s">
        <v>208</v>
      </c>
      <c r="C85" s="1" t="s">
        <v>6</v>
      </c>
      <c r="D85" s="1" t="s">
        <v>21</v>
      </c>
    </row>
    <row r="86" ht="14.25" customHeight="1">
      <c r="A86" s="1" t="s">
        <v>774</v>
      </c>
      <c r="B86" s="1" t="s">
        <v>211</v>
      </c>
      <c r="C86" s="1" t="s">
        <v>7</v>
      </c>
      <c r="D86" s="1" t="s">
        <v>25</v>
      </c>
    </row>
    <row r="87" ht="14.25" customHeight="1">
      <c r="A87" s="1" t="s">
        <v>774</v>
      </c>
      <c r="B87" s="1" t="s">
        <v>211</v>
      </c>
      <c r="C87" s="1" t="s">
        <v>5</v>
      </c>
      <c r="D87" s="1" t="s">
        <v>775</v>
      </c>
    </row>
    <row r="88" ht="14.25" customHeight="1">
      <c r="A88" s="1" t="s">
        <v>774</v>
      </c>
      <c r="B88" s="1" t="s">
        <v>211</v>
      </c>
      <c r="C88" s="1" t="s">
        <v>6</v>
      </c>
      <c r="D88" s="1" t="s">
        <v>11</v>
      </c>
    </row>
    <row r="89" ht="14.25" customHeight="1">
      <c r="A89" s="1" t="s">
        <v>776</v>
      </c>
      <c r="B89" s="1" t="s">
        <v>239</v>
      </c>
      <c r="C89" s="1" t="s">
        <v>7</v>
      </c>
      <c r="D89" s="1" t="s">
        <v>13</v>
      </c>
    </row>
    <row r="90" ht="14.25" customHeight="1">
      <c r="A90" s="1" t="s">
        <v>776</v>
      </c>
      <c r="B90" s="1" t="s">
        <v>239</v>
      </c>
      <c r="C90" s="1" t="s">
        <v>5</v>
      </c>
      <c r="D90" s="1" t="s">
        <v>777</v>
      </c>
    </row>
    <row r="91" ht="14.25" customHeight="1">
      <c r="A91" s="1" t="s">
        <v>776</v>
      </c>
      <c r="B91" s="1" t="s">
        <v>239</v>
      </c>
      <c r="C91" s="1" t="s">
        <v>6</v>
      </c>
      <c r="D91" s="1" t="s">
        <v>15</v>
      </c>
    </row>
    <row r="92" ht="14.25" customHeight="1">
      <c r="A92" s="1" t="s">
        <v>778</v>
      </c>
      <c r="B92" s="1" t="s">
        <v>463</v>
      </c>
      <c r="C92" s="1" t="s">
        <v>7</v>
      </c>
      <c r="D92" s="1" t="s">
        <v>13</v>
      </c>
    </row>
    <row r="93" ht="14.25" customHeight="1">
      <c r="A93" s="1" t="s">
        <v>778</v>
      </c>
      <c r="B93" s="1" t="s">
        <v>463</v>
      </c>
      <c r="C93" s="1" t="s">
        <v>5</v>
      </c>
      <c r="D93" s="1" t="s">
        <v>779</v>
      </c>
    </row>
    <row r="94" ht="14.25" customHeight="1">
      <c r="A94" s="1" t="s">
        <v>778</v>
      </c>
      <c r="B94" s="1" t="s">
        <v>463</v>
      </c>
      <c r="C94" s="1" t="s">
        <v>6</v>
      </c>
      <c r="D94" s="1" t="s">
        <v>21</v>
      </c>
    </row>
    <row r="95" ht="14.25" customHeight="1">
      <c r="A95" s="1" t="s">
        <v>780</v>
      </c>
      <c r="B95" s="1" t="s">
        <v>463</v>
      </c>
      <c r="C95" s="1" t="s">
        <v>7</v>
      </c>
      <c r="D95" s="1" t="s">
        <v>13</v>
      </c>
    </row>
    <row r="96" ht="14.25" customHeight="1">
      <c r="A96" s="1" t="s">
        <v>780</v>
      </c>
      <c r="B96" s="1" t="s">
        <v>463</v>
      </c>
      <c r="C96" s="1" t="s">
        <v>5</v>
      </c>
      <c r="D96" s="1" t="s">
        <v>781</v>
      </c>
    </row>
    <row r="97" ht="14.25" customHeight="1">
      <c r="A97" s="1" t="s">
        <v>780</v>
      </c>
      <c r="B97" s="1" t="s">
        <v>463</v>
      </c>
      <c r="C97" s="1" t="s">
        <v>6</v>
      </c>
      <c r="D97" s="1" t="s">
        <v>21</v>
      </c>
    </row>
    <row r="98" ht="14.25" customHeight="1">
      <c r="A98" s="1" t="s">
        <v>782</v>
      </c>
      <c r="B98" s="1" t="s">
        <v>223</v>
      </c>
      <c r="C98" s="1" t="s">
        <v>7</v>
      </c>
      <c r="D98" s="1" t="s">
        <v>19</v>
      </c>
    </row>
    <row r="99" ht="14.25" customHeight="1">
      <c r="A99" s="1" t="s">
        <v>782</v>
      </c>
      <c r="B99" s="1" t="s">
        <v>223</v>
      </c>
      <c r="C99" s="1" t="s">
        <v>5</v>
      </c>
      <c r="D99" s="1" t="s">
        <v>783</v>
      </c>
    </row>
    <row r="100" ht="14.25" customHeight="1">
      <c r="A100" s="1" t="s">
        <v>782</v>
      </c>
      <c r="B100" s="1" t="s">
        <v>223</v>
      </c>
      <c r="C100" s="1" t="s">
        <v>6</v>
      </c>
      <c r="D100" s="1" t="s">
        <v>21</v>
      </c>
    </row>
    <row r="101" ht="14.25" customHeight="1">
      <c r="A101" s="1" t="s">
        <v>784</v>
      </c>
      <c r="B101" s="1" t="s">
        <v>185</v>
      </c>
      <c r="C101" s="1" t="s">
        <v>7</v>
      </c>
      <c r="D101" s="1" t="s">
        <v>25</v>
      </c>
    </row>
    <row r="102" ht="14.25" customHeight="1">
      <c r="A102" s="1" t="s">
        <v>784</v>
      </c>
      <c r="B102" s="1" t="s">
        <v>185</v>
      </c>
      <c r="C102" s="1" t="s">
        <v>5</v>
      </c>
      <c r="D102" s="1" t="s">
        <v>785</v>
      </c>
    </row>
    <row r="103" ht="14.25" customHeight="1">
      <c r="A103" s="1" t="s">
        <v>784</v>
      </c>
      <c r="B103" s="1" t="s">
        <v>185</v>
      </c>
      <c r="C103" s="1" t="s">
        <v>6</v>
      </c>
      <c r="D103" s="1" t="s">
        <v>11</v>
      </c>
    </row>
    <row r="104" ht="14.25" customHeight="1">
      <c r="A104" s="1" t="s">
        <v>786</v>
      </c>
      <c r="B104" s="1" t="s">
        <v>292</v>
      </c>
      <c r="C104" s="1" t="s">
        <v>7</v>
      </c>
      <c r="D104" s="1" t="s">
        <v>9</v>
      </c>
    </row>
    <row r="105" ht="14.25" customHeight="1">
      <c r="A105" s="1" t="s">
        <v>786</v>
      </c>
      <c r="B105" s="1" t="s">
        <v>292</v>
      </c>
      <c r="C105" s="1" t="s">
        <v>5</v>
      </c>
      <c r="D105" s="1" t="s">
        <v>787</v>
      </c>
    </row>
    <row r="106" ht="14.25" customHeight="1">
      <c r="A106" s="1" t="s">
        <v>786</v>
      </c>
      <c r="B106" s="1" t="s">
        <v>292</v>
      </c>
      <c r="C106" s="1" t="s">
        <v>6</v>
      </c>
      <c r="D106" s="1" t="s">
        <v>21</v>
      </c>
    </row>
    <row r="107" ht="14.25" customHeight="1">
      <c r="A107" s="1" t="s">
        <v>788</v>
      </c>
      <c r="B107" s="1" t="s">
        <v>324</v>
      </c>
      <c r="C107" s="1" t="s">
        <v>7</v>
      </c>
      <c r="D107" s="1" t="s">
        <v>9</v>
      </c>
    </row>
    <row r="108" ht="14.25" customHeight="1">
      <c r="A108" s="1" t="s">
        <v>788</v>
      </c>
      <c r="B108" s="1" t="s">
        <v>324</v>
      </c>
      <c r="C108" s="1" t="s">
        <v>5</v>
      </c>
      <c r="D108" s="1" t="s">
        <v>789</v>
      </c>
    </row>
    <row r="109" ht="14.25" customHeight="1">
      <c r="A109" s="1" t="s">
        <v>788</v>
      </c>
      <c r="B109" s="1" t="s">
        <v>324</v>
      </c>
      <c r="C109" s="1" t="s">
        <v>6</v>
      </c>
      <c r="D109" s="1" t="s">
        <v>21</v>
      </c>
    </row>
    <row r="110" ht="14.25" customHeight="1">
      <c r="A110" s="1" t="s">
        <v>790</v>
      </c>
      <c r="B110" s="1" t="s">
        <v>378</v>
      </c>
      <c r="C110" s="1" t="s">
        <v>7</v>
      </c>
      <c r="D110" s="1" t="s">
        <v>19</v>
      </c>
    </row>
    <row r="111" ht="14.25" customHeight="1">
      <c r="A111" s="1" t="s">
        <v>790</v>
      </c>
      <c r="B111" s="1" t="s">
        <v>378</v>
      </c>
      <c r="C111" s="1" t="s">
        <v>5</v>
      </c>
      <c r="D111" s="1" t="s">
        <v>791</v>
      </c>
    </row>
    <row r="112" ht="14.25" customHeight="1">
      <c r="A112" s="1" t="s">
        <v>790</v>
      </c>
      <c r="B112" s="1" t="s">
        <v>378</v>
      </c>
      <c r="C112" s="1" t="s">
        <v>6</v>
      </c>
      <c r="D112" s="1" t="s">
        <v>21</v>
      </c>
    </row>
    <row r="113" ht="14.25" customHeight="1">
      <c r="A113" s="1" t="s">
        <v>792</v>
      </c>
      <c r="B113" s="1" t="s">
        <v>381</v>
      </c>
      <c r="C113" s="1" t="s">
        <v>7</v>
      </c>
      <c r="D113" s="1" t="s">
        <v>9</v>
      </c>
    </row>
    <row r="114" ht="14.25" customHeight="1">
      <c r="A114" s="1" t="s">
        <v>792</v>
      </c>
      <c r="B114" s="1" t="s">
        <v>381</v>
      </c>
      <c r="C114" s="1" t="s">
        <v>5</v>
      </c>
      <c r="D114" s="1" t="s">
        <v>793</v>
      </c>
    </row>
    <row r="115" ht="14.25" customHeight="1">
      <c r="A115" s="1" t="s">
        <v>792</v>
      </c>
      <c r="B115" s="1" t="s">
        <v>381</v>
      </c>
      <c r="C115" s="1" t="s">
        <v>6</v>
      </c>
      <c r="D115" s="1" t="s">
        <v>11</v>
      </c>
    </row>
    <row r="116" ht="14.25" customHeight="1">
      <c r="A116" s="1" t="s">
        <v>794</v>
      </c>
      <c r="B116" s="1" t="s">
        <v>223</v>
      </c>
      <c r="C116" s="1" t="s">
        <v>7</v>
      </c>
      <c r="D116" s="1" t="s">
        <v>9</v>
      </c>
    </row>
    <row r="117" ht="14.25" customHeight="1">
      <c r="A117" s="1" t="s">
        <v>794</v>
      </c>
      <c r="B117" s="1" t="s">
        <v>223</v>
      </c>
      <c r="C117" s="1" t="s">
        <v>5</v>
      </c>
      <c r="D117" s="1" t="s">
        <v>795</v>
      </c>
    </row>
    <row r="118" ht="14.25" customHeight="1">
      <c r="A118" s="1" t="s">
        <v>794</v>
      </c>
      <c r="B118" s="1" t="s">
        <v>223</v>
      </c>
      <c r="C118" s="1" t="s">
        <v>6</v>
      </c>
      <c r="D118" s="1" t="s">
        <v>15</v>
      </c>
    </row>
    <row r="119" ht="14.25" customHeight="1">
      <c r="A119" s="1" t="s">
        <v>796</v>
      </c>
      <c r="B119" s="1" t="s">
        <v>233</v>
      </c>
      <c r="C119" s="1" t="s">
        <v>7</v>
      </c>
      <c r="D119" s="1" t="s">
        <v>9</v>
      </c>
    </row>
    <row r="120" ht="14.25" customHeight="1">
      <c r="A120" s="1" t="s">
        <v>796</v>
      </c>
      <c r="B120" s="1" t="s">
        <v>233</v>
      </c>
      <c r="C120" s="1" t="s">
        <v>5</v>
      </c>
      <c r="D120" s="1" t="s">
        <v>797</v>
      </c>
    </row>
    <row r="121" ht="14.25" customHeight="1">
      <c r="A121" s="1" t="s">
        <v>796</v>
      </c>
      <c r="B121" s="1" t="s">
        <v>233</v>
      </c>
      <c r="C121" s="1" t="s">
        <v>6</v>
      </c>
      <c r="D121" s="1" t="s">
        <v>21</v>
      </c>
    </row>
    <row r="122" ht="14.25" customHeight="1">
      <c r="A122" s="1" t="s">
        <v>798</v>
      </c>
      <c r="B122" s="1" t="s">
        <v>233</v>
      </c>
      <c r="C122" s="1" t="s">
        <v>7</v>
      </c>
      <c r="D122" s="1" t="s">
        <v>19</v>
      </c>
    </row>
    <row r="123" ht="14.25" customHeight="1">
      <c r="A123" s="1" t="s">
        <v>798</v>
      </c>
      <c r="B123" s="1" t="s">
        <v>233</v>
      </c>
      <c r="C123" s="1" t="s">
        <v>5</v>
      </c>
      <c r="D123" s="1" t="s">
        <v>799</v>
      </c>
    </row>
    <row r="124" ht="14.25" customHeight="1">
      <c r="A124" s="1" t="s">
        <v>798</v>
      </c>
      <c r="B124" s="1" t="s">
        <v>233</v>
      </c>
      <c r="C124" s="1" t="s">
        <v>6</v>
      </c>
      <c r="D124" s="1" t="s">
        <v>21</v>
      </c>
    </row>
    <row r="125" ht="14.25" customHeight="1">
      <c r="A125" s="1" t="s">
        <v>800</v>
      </c>
      <c r="B125" s="1" t="s">
        <v>472</v>
      </c>
      <c r="C125" s="1" t="s">
        <v>7</v>
      </c>
      <c r="D125" s="1" t="s">
        <v>13</v>
      </c>
    </row>
    <row r="126" ht="14.25" customHeight="1">
      <c r="A126" s="1" t="s">
        <v>800</v>
      </c>
      <c r="B126" s="1" t="s">
        <v>472</v>
      </c>
      <c r="C126" s="1" t="s">
        <v>5</v>
      </c>
      <c r="D126" s="1" t="s">
        <v>801</v>
      </c>
    </row>
    <row r="127" ht="14.25" customHeight="1">
      <c r="A127" s="1" t="s">
        <v>800</v>
      </c>
      <c r="B127" s="1" t="s">
        <v>472</v>
      </c>
      <c r="C127" s="1" t="s">
        <v>6</v>
      </c>
      <c r="D127" s="1" t="s">
        <v>21</v>
      </c>
    </row>
    <row r="128" ht="14.25" customHeight="1">
      <c r="A128" s="1" t="s">
        <v>802</v>
      </c>
      <c r="B128" s="1" t="s">
        <v>463</v>
      </c>
      <c r="C128" s="1" t="s">
        <v>7</v>
      </c>
      <c r="D128" s="1" t="s">
        <v>19</v>
      </c>
    </row>
    <row r="129" ht="14.25" customHeight="1">
      <c r="A129" s="1" t="s">
        <v>802</v>
      </c>
      <c r="B129" s="1" t="s">
        <v>463</v>
      </c>
      <c r="C129" s="1" t="s">
        <v>5</v>
      </c>
      <c r="D129" s="1" t="s">
        <v>803</v>
      </c>
    </row>
    <row r="130" ht="14.25" customHeight="1">
      <c r="A130" s="1" t="s">
        <v>802</v>
      </c>
      <c r="B130" s="1" t="s">
        <v>463</v>
      </c>
      <c r="C130" s="1" t="s">
        <v>6</v>
      </c>
      <c r="D130" s="1" t="s">
        <v>15</v>
      </c>
    </row>
    <row r="131" ht="14.25" customHeight="1">
      <c r="A131" s="1" t="s">
        <v>804</v>
      </c>
      <c r="B131" s="1" t="s">
        <v>307</v>
      </c>
      <c r="C131" s="1" t="s">
        <v>7</v>
      </c>
      <c r="D131" s="1" t="s">
        <v>25</v>
      </c>
    </row>
    <row r="132" ht="14.25" customHeight="1">
      <c r="A132" s="1" t="s">
        <v>804</v>
      </c>
      <c r="B132" s="1" t="s">
        <v>307</v>
      </c>
      <c r="C132" s="1" t="s">
        <v>5</v>
      </c>
      <c r="D132" s="1" t="s">
        <v>805</v>
      </c>
    </row>
    <row r="133" ht="14.25" customHeight="1">
      <c r="A133" s="1" t="s">
        <v>804</v>
      </c>
      <c r="B133" s="1" t="s">
        <v>307</v>
      </c>
      <c r="C133" s="1" t="s">
        <v>6</v>
      </c>
      <c r="D133" s="1" t="s">
        <v>21</v>
      </c>
    </row>
    <row r="134" ht="14.25" customHeight="1">
      <c r="A134" s="1" t="s">
        <v>806</v>
      </c>
      <c r="B134" s="1" t="s">
        <v>273</v>
      </c>
      <c r="C134" s="1" t="s">
        <v>7</v>
      </c>
      <c r="D134" s="1" t="s">
        <v>9</v>
      </c>
    </row>
    <row r="135" ht="14.25" customHeight="1">
      <c r="A135" s="1" t="s">
        <v>806</v>
      </c>
      <c r="B135" s="1" t="s">
        <v>273</v>
      </c>
      <c r="C135" s="1" t="s">
        <v>5</v>
      </c>
      <c r="D135" s="1" t="s">
        <v>807</v>
      </c>
    </row>
    <row r="136" ht="14.25" customHeight="1">
      <c r="A136" s="1" t="s">
        <v>806</v>
      </c>
      <c r="B136" s="1" t="s">
        <v>273</v>
      </c>
      <c r="C136" s="1" t="s">
        <v>6</v>
      </c>
      <c r="D136" s="1" t="s">
        <v>21</v>
      </c>
    </row>
    <row r="137" ht="14.25" customHeight="1">
      <c r="A137" s="1" t="s">
        <v>808</v>
      </c>
      <c r="B137" s="1" t="s">
        <v>246</v>
      </c>
      <c r="C137" s="1" t="s">
        <v>7</v>
      </c>
      <c r="D137" s="1" t="s">
        <v>25</v>
      </c>
    </row>
    <row r="138" ht="14.25" customHeight="1">
      <c r="A138" s="1" t="s">
        <v>808</v>
      </c>
      <c r="B138" s="1" t="s">
        <v>246</v>
      </c>
      <c r="C138" s="1" t="s">
        <v>5</v>
      </c>
      <c r="D138" s="1" t="s">
        <v>809</v>
      </c>
    </row>
    <row r="139" ht="14.25" customHeight="1">
      <c r="A139" s="1" t="s">
        <v>808</v>
      </c>
      <c r="B139" s="1" t="s">
        <v>246</v>
      </c>
      <c r="C139" s="1" t="s">
        <v>6</v>
      </c>
      <c r="D139" s="1" t="s">
        <v>15</v>
      </c>
    </row>
    <row r="140" ht="14.25" customHeight="1">
      <c r="A140" s="1" t="s">
        <v>810</v>
      </c>
      <c r="B140" s="1" t="s">
        <v>236</v>
      </c>
      <c r="C140" s="1" t="s">
        <v>7</v>
      </c>
      <c r="D140" s="1" t="s">
        <v>19</v>
      </c>
    </row>
    <row r="141" ht="14.25" customHeight="1">
      <c r="A141" s="1" t="s">
        <v>810</v>
      </c>
      <c r="B141" s="1" t="s">
        <v>236</v>
      </c>
      <c r="C141" s="1" t="s">
        <v>5</v>
      </c>
      <c r="D141" s="1" t="s">
        <v>811</v>
      </c>
    </row>
    <row r="142" ht="14.25" customHeight="1">
      <c r="A142" s="1" t="s">
        <v>810</v>
      </c>
      <c r="B142" s="1" t="s">
        <v>236</v>
      </c>
      <c r="C142" s="1" t="s">
        <v>6</v>
      </c>
      <c r="D142" s="1" t="s">
        <v>21</v>
      </c>
    </row>
    <row r="143" ht="14.25" customHeight="1">
      <c r="A143" s="1" t="s">
        <v>812</v>
      </c>
      <c r="B143" s="1" t="s">
        <v>236</v>
      </c>
      <c r="C143" s="1" t="s">
        <v>7</v>
      </c>
      <c r="D143" s="1" t="s">
        <v>25</v>
      </c>
    </row>
    <row r="144" ht="14.25" customHeight="1">
      <c r="A144" s="1" t="s">
        <v>812</v>
      </c>
      <c r="B144" s="1" t="s">
        <v>236</v>
      </c>
      <c r="C144" s="1" t="s">
        <v>5</v>
      </c>
      <c r="D144" s="1" t="s">
        <v>813</v>
      </c>
    </row>
    <row r="145" ht="14.25" customHeight="1">
      <c r="A145" s="1" t="s">
        <v>812</v>
      </c>
      <c r="B145" s="1" t="s">
        <v>236</v>
      </c>
      <c r="C145" s="1" t="s">
        <v>6</v>
      </c>
      <c r="D145" s="1" t="s">
        <v>21</v>
      </c>
    </row>
    <row r="146" ht="14.25" customHeight="1">
      <c r="A146" s="1" t="s">
        <v>814</v>
      </c>
      <c r="B146" s="1" t="s">
        <v>188</v>
      </c>
      <c r="C146" s="1" t="s">
        <v>7</v>
      </c>
      <c r="D146" s="1" t="s">
        <v>25</v>
      </c>
    </row>
    <row r="147" ht="14.25" customHeight="1">
      <c r="A147" s="1" t="s">
        <v>814</v>
      </c>
      <c r="B147" s="1" t="s">
        <v>188</v>
      </c>
      <c r="C147" s="1" t="s">
        <v>5</v>
      </c>
      <c r="D147" s="1" t="s">
        <v>815</v>
      </c>
    </row>
    <row r="148" ht="14.25" customHeight="1">
      <c r="A148" s="1" t="s">
        <v>814</v>
      </c>
      <c r="B148" s="1" t="s">
        <v>188</v>
      </c>
      <c r="C148" s="1" t="s">
        <v>6</v>
      </c>
      <c r="D148" s="1" t="s">
        <v>15</v>
      </c>
    </row>
    <row r="149" ht="14.25" customHeight="1">
      <c r="A149" s="1" t="s">
        <v>816</v>
      </c>
      <c r="B149" s="1" t="s">
        <v>185</v>
      </c>
      <c r="C149" s="1" t="s">
        <v>7</v>
      </c>
      <c r="D149" s="1" t="s">
        <v>13</v>
      </c>
    </row>
    <row r="150" ht="14.25" customHeight="1">
      <c r="A150" s="1" t="s">
        <v>816</v>
      </c>
      <c r="B150" s="1" t="s">
        <v>185</v>
      </c>
      <c r="C150" s="1" t="s">
        <v>5</v>
      </c>
      <c r="D150" s="1" t="s">
        <v>817</v>
      </c>
    </row>
    <row r="151" ht="14.25" customHeight="1">
      <c r="A151" s="1" t="s">
        <v>816</v>
      </c>
      <c r="B151" s="1" t="s">
        <v>185</v>
      </c>
      <c r="C151" s="1" t="s">
        <v>6</v>
      </c>
      <c r="D151" s="1" t="s">
        <v>15</v>
      </c>
    </row>
    <row r="152" ht="14.25" customHeight="1">
      <c r="A152" s="1" t="s">
        <v>818</v>
      </c>
      <c r="B152" s="1" t="s">
        <v>188</v>
      </c>
      <c r="C152" s="1" t="s">
        <v>7</v>
      </c>
      <c r="D152" s="1" t="s">
        <v>25</v>
      </c>
    </row>
    <row r="153" ht="14.25" customHeight="1">
      <c r="A153" s="1" t="s">
        <v>818</v>
      </c>
      <c r="B153" s="1" t="s">
        <v>188</v>
      </c>
      <c r="C153" s="1" t="s">
        <v>5</v>
      </c>
      <c r="D153" s="1" t="s">
        <v>819</v>
      </c>
    </row>
    <row r="154" ht="14.25" customHeight="1">
      <c r="A154" s="1" t="s">
        <v>818</v>
      </c>
      <c r="B154" s="1" t="s">
        <v>188</v>
      </c>
      <c r="C154" s="1" t="s">
        <v>6</v>
      </c>
      <c r="D154" s="1" t="s">
        <v>21</v>
      </c>
    </row>
    <row r="155" ht="14.25" customHeight="1">
      <c r="A155" s="1" t="s">
        <v>820</v>
      </c>
      <c r="B155" s="1" t="s">
        <v>378</v>
      </c>
      <c r="C155" s="1" t="s">
        <v>7</v>
      </c>
      <c r="D155" s="1" t="s">
        <v>25</v>
      </c>
    </row>
    <row r="156" ht="14.25" customHeight="1">
      <c r="A156" s="1" t="s">
        <v>820</v>
      </c>
      <c r="B156" s="1" t="s">
        <v>378</v>
      </c>
      <c r="C156" s="1" t="s">
        <v>5</v>
      </c>
      <c r="D156" s="1" t="s">
        <v>821</v>
      </c>
    </row>
    <row r="157" ht="14.25" customHeight="1">
      <c r="A157" s="1" t="s">
        <v>820</v>
      </c>
      <c r="B157" s="1" t="s">
        <v>378</v>
      </c>
      <c r="C157" s="1" t="s">
        <v>6</v>
      </c>
      <c r="D157" s="1" t="s">
        <v>15</v>
      </c>
    </row>
    <row r="158" ht="14.25" customHeight="1">
      <c r="A158" s="1" t="s">
        <v>822</v>
      </c>
      <c r="B158" s="1" t="s">
        <v>236</v>
      </c>
      <c r="C158" s="1" t="s">
        <v>7</v>
      </c>
      <c r="D158" s="1" t="s">
        <v>19</v>
      </c>
    </row>
    <row r="159" ht="14.25" customHeight="1">
      <c r="A159" s="1" t="s">
        <v>822</v>
      </c>
      <c r="B159" s="1" t="s">
        <v>236</v>
      </c>
      <c r="C159" s="1" t="s">
        <v>5</v>
      </c>
      <c r="D159" s="1" t="s">
        <v>823</v>
      </c>
    </row>
    <row r="160" ht="14.25" customHeight="1">
      <c r="A160" s="1" t="s">
        <v>822</v>
      </c>
      <c r="B160" s="1" t="s">
        <v>236</v>
      </c>
      <c r="C160" s="1" t="s">
        <v>6</v>
      </c>
      <c r="D160" s="1" t="s">
        <v>15</v>
      </c>
    </row>
    <row r="161" ht="14.25" customHeight="1">
      <c r="A161" s="1" t="s">
        <v>824</v>
      </c>
      <c r="B161" s="1" t="s">
        <v>324</v>
      </c>
      <c r="C161" s="1" t="s">
        <v>7</v>
      </c>
      <c r="D161" s="1" t="s">
        <v>25</v>
      </c>
    </row>
    <row r="162" ht="14.25" customHeight="1">
      <c r="A162" s="1" t="s">
        <v>824</v>
      </c>
      <c r="B162" s="1" t="s">
        <v>324</v>
      </c>
      <c r="C162" s="1" t="s">
        <v>5</v>
      </c>
      <c r="D162" s="1" t="s">
        <v>825</v>
      </c>
    </row>
    <row r="163" ht="14.25" customHeight="1">
      <c r="A163" s="1" t="s">
        <v>824</v>
      </c>
      <c r="B163" s="1" t="s">
        <v>324</v>
      </c>
      <c r="C163" s="1" t="s">
        <v>6</v>
      </c>
      <c r="D163" s="1" t="s">
        <v>15</v>
      </c>
    </row>
    <row r="164" ht="14.25" customHeight="1">
      <c r="A164" s="1" t="s">
        <v>826</v>
      </c>
      <c r="B164" s="1" t="s">
        <v>203</v>
      </c>
      <c r="C164" s="1" t="s">
        <v>7</v>
      </c>
      <c r="D164" s="1" t="s">
        <v>9</v>
      </c>
    </row>
    <row r="165" ht="14.25" customHeight="1">
      <c r="A165" s="1" t="s">
        <v>826</v>
      </c>
      <c r="B165" s="1" t="s">
        <v>203</v>
      </c>
      <c r="C165" s="1" t="s">
        <v>5</v>
      </c>
      <c r="D165" s="1" t="s">
        <v>827</v>
      </c>
    </row>
    <row r="166" ht="14.25" customHeight="1">
      <c r="A166" s="1" t="s">
        <v>826</v>
      </c>
      <c r="B166" s="1" t="s">
        <v>203</v>
      </c>
      <c r="C166" s="1" t="s">
        <v>6</v>
      </c>
      <c r="D166" s="1" t="s">
        <v>11</v>
      </c>
    </row>
    <row r="167" ht="14.25" customHeight="1">
      <c r="A167" s="1" t="s">
        <v>828</v>
      </c>
      <c r="B167" s="1" t="s">
        <v>194</v>
      </c>
      <c r="C167" s="1" t="s">
        <v>7</v>
      </c>
      <c r="D167" s="1" t="s">
        <v>19</v>
      </c>
    </row>
    <row r="168" ht="14.25" customHeight="1">
      <c r="A168" s="1" t="s">
        <v>828</v>
      </c>
      <c r="B168" s="1" t="s">
        <v>194</v>
      </c>
      <c r="C168" s="1" t="s">
        <v>5</v>
      </c>
      <c r="D168" s="1" t="s">
        <v>829</v>
      </c>
    </row>
    <row r="169" ht="14.25" customHeight="1">
      <c r="A169" s="1" t="s">
        <v>828</v>
      </c>
      <c r="B169" s="1" t="s">
        <v>194</v>
      </c>
      <c r="C169" s="1" t="s">
        <v>6</v>
      </c>
      <c r="D169" s="1" t="s">
        <v>21</v>
      </c>
    </row>
    <row r="170" ht="14.25" customHeight="1">
      <c r="A170" s="1" t="s">
        <v>830</v>
      </c>
      <c r="B170" s="1" t="s">
        <v>378</v>
      </c>
      <c r="C170" s="1" t="s">
        <v>7</v>
      </c>
      <c r="D170" s="1" t="s">
        <v>13</v>
      </c>
    </row>
    <row r="171" ht="14.25" customHeight="1">
      <c r="A171" s="1" t="s">
        <v>830</v>
      </c>
      <c r="B171" s="1" t="s">
        <v>378</v>
      </c>
      <c r="C171" s="1" t="s">
        <v>5</v>
      </c>
      <c r="D171" s="1" t="s">
        <v>831</v>
      </c>
    </row>
    <row r="172" ht="14.25" customHeight="1">
      <c r="A172" s="1" t="s">
        <v>830</v>
      </c>
      <c r="B172" s="1" t="s">
        <v>378</v>
      </c>
      <c r="C172" s="1" t="s">
        <v>6</v>
      </c>
      <c r="D172" s="1" t="s">
        <v>21</v>
      </c>
    </row>
    <row r="173" ht="14.25" customHeight="1">
      <c r="A173" s="1" t="s">
        <v>832</v>
      </c>
      <c r="B173" s="1" t="s">
        <v>200</v>
      </c>
      <c r="C173" s="1" t="s">
        <v>7</v>
      </c>
      <c r="D173" s="1" t="s">
        <v>25</v>
      </c>
    </row>
    <row r="174" ht="14.25" customHeight="1">
      <c r="A174" s="1" t="s">
        <v>832</v>
      </c>
      <c r="B174" s="1" t="s">
        <v>200</v>
      </c>
      <c r="C174" s="1" t="s">
        <v>5</v>
      </c>
      <c r="D174" s="1" t="s">
        <v>833</v>
      </c>
    </row>
    <row r="175" ht="14.25" customHeight="1">
      <c r="A175" s="1" t="s">
        <v>832</v>
      </c>
      <c r="B175" s="1" t="s">
        <v>200</v>
      </c>
      <c r="C175" s="1" t="s">
        <v>6</v>
      </c>
      <c r="D175" s="1" t="s">
        <v>21</v>
      </c>
    </row>
    <row r="176" ht="14.25" customHeight="1">
      <c r="A176" s="1" t="s">
        <v>834</v>
      </c>
      <c r="B176" s="1" t="s">
        <v>236</v>
      </c>
      <c r="C176" s="1" t="s">
        <v>7</v>
      </c>
      <c r="D176" s="1" t="s">
        <v>19</v>
      </c>
    </row>
    <row r="177" ht="14.25" customHeight="1">
      <c r="A177" s="1" t="s">
        <v>834</v>
      </c>
      <c r="B177" s="1" t="s">
        <v>236</v>
      </c>
      <c r="C177" s="1" t="s">
        <v>5</v>
      </c>
      <c r="D177" s="1" t="s">
        <v>835</v>
      </c>
    </row>
    <row r="178" ht="14.25" customHeight="1">
      <c r="A178" s="1" t="s">
        <v>834</v>
      </c>
      <c r="B178" s="1" t="s">
        <v>236</v>
      </c>
      <c r="C178" s="1" t="s">
        <v>6</v>
      </c>
      <c r="D178" s="1" t="s">
        <v>21</v>
      </c>
    </row>
    <row r="179" ht="14.25" customHeight="1">
      <c r="A179" s="1" t="s">
        <v>836</v>
      </c>
      <c r="B179" s="1" t="s">
        <v>233</v>
      </c>
      <c r="C179" s="1" t="s">
        <v>7</v>
      </c>
      <c r="D179" s="1" t="s">
        <v>25</v>
      </c>
    </row>
    <row r="180" ht="14.25" customHeight="1">
      <c r="A180" s="1" t="s">
        <v>836</v>
      </c>
      <c r="B180" s="1" t="s">
        <v>233</v>
      </c>
      <c r="C180" s="1" t="s">
        <v>5</v>
      </c>
      <c r="D180" s="1" t="s">
        <v>837</v>
      </c>
    </row>
    <row r="181" ht="14.25" customHeight="1">
      <c r="A181" s="1" t="s">
        <v>836</v>
      </c>
      <c r="B181" s="1" t="s">
        <v>233</v>
      </c>
      <c r="C181" s="1" t="s">
        <v>6</v>
      </c>
      <c r="D181" s="1" t="s">
        <v>11</v>
      </c>
    </row>
    <row r="182" ht="14.25" customHeight="1">
      <c r="A182" s="1" t="s">
        <v>838</v>
      </c>
      <c r="B182" s="1" t="s">
        <v>182</v>
      </c>
      <c r="C182" s="1" t="s">
        <v>7</v>
      </c>
      <c r="D182" s="1" t="s">
        <v>9</v>
      </c>
    </row>
    <row r="183" ht="14.25" customHeight="1">
      <c r="A183" s="1" t="s">
        <v>838</v>
      </c>
      <c r="B183" s="1" t="s">
        <v>182</v>
      </c>
      <c r="C183" s="1" t="s">
        <v>5</v>
      </c>
      <c r="D183" s="1" t="s">
        <v>237</v>
      </c>
    </row>
    <row r="184" ht="14.25" customHeight="1">
      <c r="A184" s="1" t="s">
        <v>838</v>
      </c>
      <c r="B184" s="1" t="s">
        <v>182</v>
      </c>
      <c r="C184" s="1" t="s">
        <v>6</v>
      </c>
      <c r="D184" s="1" t="s">
        <v>21</v>
      </c>
    </row>
    <row r="185" ht="14.25" customHeight="1">
      <c r="A185" s="1" t="s">
        <v>839</v>
      </c>
      <c r="B185" s="1" t="s">
        <v>197</v>
      </c>
      <c r="C185" s="1" t="s">
        <v>7</v>
      </c>
      <c r="D185" s="1" t="s">
        <v>9</v>
      </c>
    </row>
    <row r="186" ht="14.25" customHeight="1">
      <c r="A186" s="1" t="s">
        <v>839</v>
      </c>
      <c r="B186" s="1" t="s">
        <v>197</v>
      </c>
      <c r="C186" s="1" t="s">
        <v>5</v>
      </c>
      <c r="D186" s="1" t="s">
        <v>840</v>
      </c>
    </row>
    <row r="187" ht="14.25" customHeight="1">
      <c r="A187" s="1" t="s">
        <v>839</v>
      </c>
      <c r="B187" s="1" t="s">
        <v>197</v>
      </c>
      <c r="C187" s="1" t="s">
        <v>6</v>
      </c>
      <c r="D187" s="1" t="s">
        <v>11</v>
      </c>
    </row>
    <row r="188" ht="14.25" customHeight="1">
      <c r="A188" s="1" t="s">
        <v>841</v>
      </c>
      <c r="B188" s="1" t="s">
        <v>239</v>
      </c>
      <c r="C188" s="1" t="s">
        <v>7</v>
      </c>
      <c r="D188" s="1" t="s">
        <v>19</v>
      </c>
    </row>
    <row r="189" ht="14.25" customHeight="1">
      <c r="A189" s="1" t="s">
        <v>841</v>
      </c>
      <c r="B189" s="1" t="s">
        <v>239</v>
      </c>
      <c r="C189" s="1" t="s">
        <v>5</v>
      </c>
      <c r="D189" s="1" t="s">
        <v>842</v>
      </c>
    </row>
    <row r="190" ht="14.25" customHeight="1">
      <c r="A190" s="1" t="s">
        <v>841</v>
      </c>
      <c r="B190" s="1" t="s">
        <v>239</v>
      </c>
      <c r="C190" s="1" t="s">
        <v>6</v>
      </c>
      <c r="D190" s="1" t="s">
        <v>15</v>
      </c>
    </row>
    <row r="191" ht="14.25" customHeight="1">
      <c r="A191" s="1" t="s">
        <v>843</v>
      </c>
      <c r="B191" s="1" t="s">
        <v>317</v>
      </c>
      <c r="C191" s="1" t="s">
        <v>7</v>
      </c>
      <c r="D191" s="1" t="s">
        <v>13</v>
      </c>
    </row>
    <row r="192" ht="14.25" customHeight="1">
      <c r="A192" s="1" t="s">
        <v>843</v>
      </c>
      <c r="B192" s="1" t="s">
        <v>317</v>
      </c>
      <c r="C192" s="1" t="s">
        <v>5</v>
      </c>
      <c r="D192" s="1" t="s">
        <v>844</v>
      </c>
    </row>
    <row r="193" ht="14.25" customHeight="1">
      <c r="A193" s="1" t="s">
        <v>843</v>
      </c>
      <c r="B193" s="1" t="s">
        <v>317</v>
      </c>
      <c r="C193" s="1" t="s">
        <v>6</v>
      </c>
      <c r="D193" s="1" t="s">
        <v>15</v>
      </c>
    </row>
    <row r="194" ht="14.25" customHeight="1">
      <c r="A194" s="1" t="s">
        <v>845</v>
      </c>
      <c r="B194" s="1" t="s">
        <v>273</v>
      </c>
      <c r="C194" s="1" t="s">
        <v>7</v>
      </c>
      <c r="D194" s="1" t="s">
        <v>13</v>
      </c>
    </row>
    <row r="195" ht="14.25" customHeight="1">
      <c r="A195" s="1" t="s">
        <v>845</v>
      </c>
      <c r="B195" s="1" t="s">
        <v>273</v>
      </c>
      <c r="C195" s="1" t="s">
        <v>5</v>
      </c>
      <c r="D195" s="1" t="s">
        <v>846</v>
      </c>
    </row>
    <row r="196" ht="14.25" customHeight="1">
      <c r="A196" s="1" t="s">
        <v>845</v>
      </c>
      <c r="B196" s="1" t="s">
        <v>273</v>
      </c>
      <c r="C196" s="1" t="s">
        <v>6</v>
      </c>
      <c r="D196" s="1" t="s">
        <v>15</v>
      </c>
    </row>
    <row r="197" ht="14.25" customHeight="1">
      <c r="A197" s="1" t="s">
        <v>847</v>
      </c>
      <c r="B197" s="1" t="s">
        <v>214</v>
      </c>
      <c r="C197" s="1" t="s">
        <v>7</v>
      </c>
      <c r="D197" s="1" t="s">
        <v>19</v>
      </c>
    </row>
    <row r="198" ht="14.25" customHeight="1">
      <c r="A198" s="1" t="s">
        <v>847</v>
      </c>
      <c r="B198" s="1" t="s">
        <v>214</v>
      </c>
      <c r="C198" s="1" t="s">
        <v>5</v>
      </c>
      <c r="D198" s="1" t="s">
        <v>848</v>
      </c>
    </row>
    <row r="199" ht="14.25" customHeight="1">
      <c r="A199" s="1" t="s">
        <v>847</v>
      </c>
      <c r="B199" s="1" t="s">
        <v>214</v>
      </c>
      <c r="C199" s="1" t="s">
        <v>6</v>
      </c>
      <c r="D199" s="1" t="s">
        <v>15</v>
      </c>
    </row>
    <row r="200" ht="14.25" customHeight="1">
      <c r="A200" s="1" t="s">
        <v>849</v>
      </c>
      <c r="B200" s="1" t="s">
        <v>239</v>
      </c>
      <c r="C200" s="1" t="s">
        <v>7</v>
      </c>
      <c r="D200" s="1" t="s">
        <v>9</v>
      </c>
    </row>
    <row r="201" ht="14.25" customHeight="1">
      <c r="A201" s="1" t="s">
        <v>849</v>
      </c>
      <c r="B201" s="1" t="s">
        <v>239</v>
      </c>
      <c r="C201" s="1" t="s">
        <v>5</v>
      </c>
      <c r="D201" s="1" t="s">
        <v>850</v>
      </c>
    </row>
    <row r="202" ht="14.25" customHeight="1">
      <c r="A202" s="1" t="s">
        <v>849</v>
      </c>
      <c r="B202" s="1" t="s">
        <v>239</v>
      </c>
      <c r="C202" s="1" t="s">
        <v>6</v>
      </c>
      <c r="D202" s="1" t="s">
        <v>15</v>
      </c>
    </row>
    <row r="203" ht="14.25" customHeight="1">
      <c r="A203" s="1" t="s">
        <v>851</v>
      </c>
      <c r="B203" s="1" t="s">
        <v>197</v>
      </c>
      <c r="C203" s="1" t="s">
        <v>7</v>
      </c>
      <c r="D203" s="1" t="s">
        <v>13</v>
      </c>
    </row>
    <row r="204" ht="14.25" customHeight="1">
      <c r="A204" s="1" t="s">
        <v>851</v>
      </c>
      <c r="B204" s="1" t="s">
        <v>197</v>
      </c>
      <c r="C204" s="1" t="s">
        <v>5</v>
      </c>
      <c r="D204" s="1" t="s">
        <v>852</v>
      </c>
    </row>
    <row r="205" ht="14.25" customHeight="1">
      <c r="A205" s="1" t="s">
        <v>851</v>
      </c>
      <c r="B205" s="1" t="s">
        <v>197</v>
      </c>
      <c r="C205" s="1" t="s">
        <v>6</v>
      </c>
      <c r="D205" s="1" t="s">
        <v>21</v>
      </c>
    </row>
    <row r="206" ht="14.25" customHeight="1">
      <c r="A206" s="1" t="s">
        <v>853</v>
      </c>
      <c r="B206" s="1" t="s">
        <v>339</v>
      </c>
      <c r="C206" s="1" t="s">
        <v>7</v>
      </c>
      <c r="D206" s="1" t="s">
        <v>9</v>
      </c>
    </row>
    <row r="207" ht="14.25" customHeight="1">
      <c r="A207" s="1" t="s">
        <v>853</v>
      </c>
      <c r="B207" s="1" t="s">
        <v>339</v>
      </c>
      <c r="C207" s="1" t="s">
        <v>5</v>
      </c>
      <c r="D207" s="1" t="s">
        <v>854</v>
      </c>
    </row>
    <row r="208" ht="14.25" customHeight="1">
      <c r="A208" s="1" t="s">
        <v>853</v>
      </c>
      <c r="B208" s="1" t="s">
        <v>339</v>
      </c>
      <c r="C208" s="1" t="s">
        <v>6</v>
      </c>
      <c r="D208" s="1" t="s">
        <v>11</v>
      </c>
    </row>
    <row r="209" ht="14.25" customHeight="1">
      <c r="A209" s="1" t="s">
        <v>855</v>
      </c>
      <c r="B209" s="1" t="s">
        <v>197</v>
      </c>
      <c r="C209" s="1" t="s">
        <v>7</v>
      </c>
      <c r="D209" s="1" t="s">
        <v>19</v>
      </c>
    </row>
    <row r="210" ht="14.25" customHeight="1">
      <c r="A210" s="1" t="s">
        <v>855</v>
      </c>
      <c r="B210" s="1" t="s">
        <v>197</v>
      </c>
      <c r="C210" s="1" t="s">
        <v>5</v>
      </c>
      <c r="D210" s="1" t="s">
        <v>856</v>
      </c>
    </row>
    <row r="211" ht="14.25" customHeight="1">
      <c r="A211" s="1" t="s">
        <v>855</v>
      </c>
      <c r="B211" s="1" t="s">
        <v>197</v>
      </c>
      <c r="C211" s="1" t="s">
        <v>6</v>
      </c>
      <c r="D211" s="1" t="s">
        <v>21</v>
      </c>
    </row>
    <row r="212" ht="14.25" customHeight="1">
      <c r="A212" s="1" t="s">
        <v>857</v>
      </c>
      <c r="B212" s="1" t="s">
        <v>273</v>
      </c>
      <c r="C212" s="1" t="s">
        <v>7</v>
      </c>
      <c r="D212" s="1" t="s">
        <v>9</v>
      </c>
    </row>
    <row r="213" ht="14.25" customHeight="1">
      <c r="A213" s="1" t="s">
        <v>857</v>
      </c>
      <c r="B213" s="1" t="s">
        <v>273</v>
      </c>
      <c r="C213" s="1" t="s">
        <v>5</v>
      </c>
      <c r="D213" s="1" t="s">
        <v>858</v>
      </c>
    </row>
    <row r="214" ht="14.25" customHeight="1">
      <c r="A214" s="1" t="s">
        <v>857</v>
      </c>
      <c r="B214" s="1" t="s">
        <v>273</v>
      </c>
      <c r="C214" s="1" t="s">
        <v>6</v>
      </c>
      <c r="D214" s="1" t="s">
        <v>15</v>
      </c>
    </row>
    <row r="215" ht="14.25" customHeight="1">
      <c r="A215" s="1" t="s">
        <v>859</v>
      </c>
      <c r="B215" s="1" t="s">
        <v>236</v>
      </c>
      <c r="C215" s="1" t="s">
        <v>7</v>
      </c>
      <c r="D215" s="1" t="s">
        <v>13</v>
      </c>
    </row>
    <row r="216" ht="14.25" customHeight="1">
      <c r="A216" s="1" t="s">
        <v>859</v>
      </c>
      <c r="B216" s="1" t="s">
        <v>236</v>
      </c>
      <c r="C216" s="1" t="s">
        <v>5</v>
      </c>
      <c r="D216" s="1" t="s">
        <v>860</v>
      </c>
    </row>
    <row r="217" ht="14.25" customHeight="1">
      <c r="A217" s="1" t="s">
        <v>859</v>
      </c>
      <c r="B217" s="1" t="s">
        <v>236</v>
      </c>
      <c r="C217" s="1" t="s">
        <v>6</v>
      </c>
      <c r="D217" s="1" t="s">
        <v>21</v>
      </c>
    </row>
    <row r="218" ht="14.25" customHeight="1">
      <c r="A218" s="1" t="s">
        <v>861</v>
      </c>
      <c r="B218" s="1" t="s">
        <v>182</v>
      </c>
      <c r="C218" s="1" t="s">
        <v>7</v>
      </c>
      <c r="D218" s="1" t="s">
        <v>19</v>
      </c>
    </row>
    <row r="219" ht="14.25" customHeight="1">
      <c r="A219" s="1" t="s">
        <v>861</v>
      </c>
      <c r="B219" s="1" t="s">
        <v>182</v>
      </c>
      <c r="C219" s="1" t="s">
        <v>5</v>
      </c>
      <c r="D219" s="1" t="s">
        <v>862</v>
      </c>
    </row>
    <row r="220" ht="14.25" customHeight="1">
      <c r="A220" s="1" t="s">
        <v>861</v>
      </c>
      <c r="B220" s="1" t="s">
        <v>182</v>
      </c>
      <c r="C220" s="1" t="s">
        <v>6</v>
      </c>
      <c r="D220" s="1" t="s">
        <v>21</v>
      </c>
    </row>
    <row r="221" ht="14.25" customHeight="1">
      <c r="A221" s="1" t="s">
        <v>863</v>
      </c>
      <c r="B221" s="1" t="s">
        <v>472</v>
      </c>
      <c r="C221" s="1" t="s">
        <v>7</v>
      </c>
      <c r="D221" s="1" t="s">
        <v>25</v>
      </c>
    </row>
    <row r="222" ht="14.25" customHeight="1">
      <c r="A222" s="1" t="s">
        <v>863</v>
      </c>
      <c r="B222" s="1" t="s">
        <v>472</v>
      </c>
      <c r="C222" s="1" t="s">
        <v>5</v>
      </c>
      <c r="D222" s="1" t="s">
        <v>864</v>
      </c>
    </row>
    <row r="223" ht="14.25" customHeight="1">
      <c r="A223" s="1" t="s">
        <v>863</v>
      </c>
      <c r="B223" s="1" t="s">
        <v>472</v>
      </c>
      <c r="C223" s="1" t="s">
        <v>6</v>
      </c>
      <c r="D223" s="1" t="s">
        <v>11</v>
      </c>
    </row>
    <row r="224" ht="14.25" customHeight="1">
      <c r="A224" s="1" t="s">
        <v>865</v>
      </c>
      <c r="B224" s="1" t="s">
        <v>249</v>
      </c>
      <c r="C224" s="1" t="s">
        <v>7</v>
      </c>
      <c r="D224" s="1" t="s">
        <v>25</v>
      </c>
    </row>
    <row r="225" ht="14.25" customHeight="1">
      <c r="A225" s="1" t="s">
        <v>865</v>
      </c>
      <c r="B225" s="1" t="s">
        <v>249</v>
      </c>
      <c r="C225" s="1" t="s">
        <v>5</v>
      </c>
      <c r="D225" s="1" t="s">
        <v>866</v>
      </c>
    </row>
    <row r="226" ht="14.25" customHeight="1">
      <c r="A226" s="1" t="s">
        <v>865</v>
      </c>
      <c r="B226" s="1" t="s">
        <v>249</v>
      </c>
      <c r="C226" s="1" t="s">
        <v>6</v>
      </c>
      <c r="D226" s="1" t="s">
        <v>21</v>
      </c>
    </row>
    <row r="227" ht="14.25" customHeight="1">
      <c r="A227" s="1" t="s">
        <v>867</v>
      </c>
      <c r="B227" s="1" t="s">
        <v>188</v>
      </c>
      <c r="C227" s="1" t="s">
        <v>7</v>
      </c>
      <c r="D227" s="1" t="s">
        <v>25</v>
      </c>
    </row>
    <row r="228" ht="14.25" customHeight="1">
      <c r="A228" s="1" t="s">
        <v>867</v>
      </c>
      <c r="B228" s="1" t="s">
        <v>188</v>
      </c>
      <c r="C228" s="1" t="s">
        <v>5</v>
      </c>
      <c r="D228" s="1" t="s">
        <v>868</v>
      </c>
    </row>
    <row r="229" ht="14.25" customHeight="1">
      <c r="A229" s="1" t="s">
        <v>867</v>
      </c>
      <c r="B229" s="1" t="s">
        <v>188</v>
      </c>
      <c r="C229" s="1" t="s">
        <v>6</v>
      </c>
      <c r="D229" s="1" t="s">
        <v>21</v>
      </c>
    </row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869</v>
      </c>
      <c r="B2" s="1" t="s">
        <v>378</v>
      </c>
      <c r="C2" s="1" t="s">
        <v>7</v>
      </c>
      <c r="D2" s="1" t="s">
        <v>25</v>
      </c>
      <c r="F2" s="4" t="str">
        <f>IFERROR(__xludf.DUMMYFUNCTION("UNIQUE(A2:A1000)"),"221128")</f>
        <v>221128</v>
      </c>
      <c r="G2" s="4" t="str">
        <f t="shared" ref="G2:G89" si="1">CONCATENATE("06","/",VLOOKUP(F2, A2:D1000, 2, false),"/",2023)</f>
        <v>06/29/2023</v>
      </c>
      <c r="H2" s="4" t="str">
        <f t="shared" ref="H2:H89" si="2">INDEX(D:D, MATCH(1, ($A:$A = $F2) * ($C:$C = $H$1), 0))</f>
        <v>8/16/1978</v>
      </c>
      <c r="I2" s="4" t="str">
        <f t="shared" ref="I2:I89" si="3">INDEX(D:D, MATCH(1, ($A:$A = $F2) * ($C:$C = $I$1), 0))</f>
        <v>Basic</v>
      </c>
      <c r="J2" s="4" t="str">
        <f t="shared" ref="J2:J89" si="4">INDEX(D:D, MATCH(1, ($A:$A = $F2) * ($C:$C = $J$1), 0))</f>
        <v>Black</v>
      </c>
    </row>
    <row r="3" ht="14.25" customHeight="1">
      <c r="A3" s="1" t="s">
        <v>869</v>
      </c>
      <c r="B3" s="1" t="s">
        <v>378</v>
      </c>
      <c r="C3" s="1" t="s">
        <v>5</v>
      </c>
      <c r="D3" s="1" t="s">
        <v>870</v>
      </c>
      <c r="F3" s="1" t="str">
        <f>IFERROR(__xludf.DUMMYFUNCTION("""COMPUTED_VALUE"""),"621556")</f>
        <v>621556</v>
      </c>
      <c r="G3" s="4" t="str">
        <f t="shared" si="1"/>
        <v>06/18/2023</v>
      </c>
      <c r="H3" s="4" t="str">
        <f t="shared" si="2"/>
        <v>12/12/2010</v>
      </c>
      <c r="I3" s="4" t="str">
        <f t="shared" si="3"/>
        <v>Basic</v>
      </c>
      <c r="J3" s="4" t="str">
        <f t="shared" si="4"/>
        <v>White</v>
      </c>
    </row>
    <row r="4" ht="14.25" customHeight="1">
      <c r="A4" s="1" t="s">
        <v>869</v>
      </c>
      <c r="B4" s="1" t="s">
        <v>378</v>
      </c>
      <c r="C4" s="1" t="s">
        <v>6</v>
      </c>
      <c r="D4" s="1" t="s">
        <v>21</v>
      </c>
      <c r="F4" s="1" t="str">
        <f>IFERROR(__xludf.DUMMYFUNCTION("""COMPUTED_VALUE"""),"725200")</f>
        <v>725200</v>
      </c>
      <c r="G4" s="4" t="str">
        <f t="shared" si="1"/>
        <v>06/23/2023</v>
      </c>
      <c r="H4" s="4" t="str">
        <f t="shared" si="2"/>
        <v>3/26/1952</v>
      </c>
      <c r="I4" s="4" t="str">
        <f t="shared" si="3"/>
        <v>Basic</v>
      </c>
      <c r="J4" s="4" t="str">
        <f t="shared" si="4"/>
        <v>Asian</v>
      </c>
    </row>
    <row r="5" ht="14.25" customHeight="1">
      <c r="A5" s="1" t="s">
        <v>871</v>
      </c>
      <c r="B5" s="1" t="s">
        <v>200</v>
      </c>
      <c r="C5" s="1" t="s">
        <v>7</v>
      </c>
      <c r="D5" s="1" t="s">
        <v>13</v>
      </c>
      <c r="F5" s="1" t="str">
        <f>IFERROR(__xludf.DUMMYFUNCTION("""COMPUTED_VALUE"""),"120476")</f>
        <v>120476</v>
      </c>
      <c r="G5" s="4" t="str">
        <f t="shared" si="1"/>
        <v>06/18/2023</v>
      </c>
      <c r="H5" s="4" t="str">
        <f t="shared" si="2"/>
        <v>5/27/1976</v>
      </c>
      <c r="I5" s="4" t="str">
        <f t="shared" si="3"/>
        <v>Platinum</v>
      </c>
      <c r="J5" s="4" t="str">
        <f t="shared" si="4"/>
        <v>Other</v>
      </c>
    </row>
    <row r="6" ht="14.25" customHeight="1">
      <c r="A6" s="1" t="s">
        <v>871</v>
      </c>
      <c r="B6" s="1" t="s">
        <v>200</v>
      </c>
      <c r="C6" s="1" t="s">
        <v>5</v>
      </c>
      <c r="D6" s="1" t="s">
        <v>872</v>
      </c>
      <c r="F6" s="1" t="str">
        <f>IFERROR(__xludf.DUMMYFUNCTION("""COMPUTED_VALUE"""),"314997")</f>
        <v>314997</v>
      </c>
      <c r="G6" s="4" t="str">
        <f t="shared" si="1"/>
        <v>06/23/2023</v>
      </c>
      <c r="H6" s="4" t="str">
        <f t="shared" si="2"/>
        <v>7/31/2001</v>
      </c>
      <c r="I6" s="4" t="str">
        <f t="shared" si="3"/>
        <v>Gold</v>
      </c>
      <c r="J6" s="4" t="str">
        <f t="shared" si="4"/>
        <v>Other</v>
      </c>
    </row>
    <row r="7" ht="14.25" customHeight="1">
      <c r="A7" s="1" t="s">
        <v>871</v>
      </c>
      <c r="B7" s="1" t="s">
        <v>200</v>
      </c>
      <c r="C7" s="1" t="s">
        <v>6</v>
      </c>
      <c r="D7" s="1" t="s">
        <v>21</v>
      </c>
      <c r="F7" s="1" t="str">
        <f>IFERROR(__xludf.DUMMYFUNCTION("""COMPUTED_VALUE"""),"667852")</f>
        <v>667852</v>
      </c>
      <c r="G7" s="4" t="str">
        <f t="shared" si="1"/>
        <v>06/27/2023</v>
      </c>
      <c r="H7" s="4" t="str">
        <f t="shared" si="2"/>
        <v>3/28/1947</v>
      </c>
      <c r="I7" s="4" t="str">
        <f t="shared" si="3"/>
        <v>Basic</v>
      </c>
      <c r="J7" s="4" t="str">
        <f t="shared" si="4"/>
        <v>Black</v>
      </c>
    </row>
    <row r="8" ht="14.25" customHeight="1">
      <c r="A8" s="1" t="s">
        <v>873</v>
      </c>
      <c r="B8" s="1" t="s">
        <v>307</v>
      </c>
      <c r="C8" s="1" t="s">
        <v>7</v>
      </c>
      <c r="D8" s="1" t="s">
        <v>19</v>
      </c>
      <c r="F8" s="1" t="str">
        <f>IFERROR(__xludf.DUMMYFUNCTION("""COMPUTED_VALUE"""),"890532")</f>
        <v>890532</v>
      </c>
      <c r="G8" s="4" t="str">
        <f t="shared" si="1"/>
        <v>06/16/2023</v>
      </c>
      <c r="H8" s="4" t="str">
        <f t="shared" si="2"/>
        <v>4/15/1988</v>
      </c>
      <c r="I8" s="4" t="str">
        <f t="shared" si="3"/>
        <v>Gold</v>
      </c>
      <c r="J8" s="4" t="str">
        <f t="shared" si="4"/>
        <v>White</v>
      </c>
    </row>
    <row r="9" ht="14.25" customHeight="1">
      <c r="A9" s="1" t="s">
        <v>873</v>
      </c>
      <c r="B9" s="1" t="s">
        <v>307</v>
      </c>
      <c r="C9" s="1" t="s">
        <v>5</v>
      </c>
      <c r="D9" s="1" t="s">
        <v>874</v>
      </c>
      <c r="F9" s="1" t="str">
        <f>IFERROR(__xludf.DUMMYFUNCTION("""COMPUTED_VALUE"""),"223660")</f>
        <v>223660</v>
      </c>
      <c r="G9" s="4" t="str">
        <f t="shared" si="1"/>
        <v>06/28/2023</v>
      </c>
      <c r="H9" s="4" t="str">
        <f t="shared" si="2"/>
        <v>10/20/1986</v>
      </c>
      <c r="I9" s="4" t="str">
        <f t="shared" si="3"/>
        <v>Gold</v>
      </c>
      <c r="J9" s="4" t="str">
        <f t="shared" si="4"/>
        <v>White</v>
      </c>
    </row>
    <row r="10" ht="14.25" customHeight="1">
      <c r="A10" s="1" t="s">
        <v>873</v>
      </c>
      <c r="B10" s="1" t="s">
        <v>307</v>
      </c>
      <c r="C10" s="1" t="s">
        <v>6</v>
      </c>
      <c r="D10" s="1" t="s">
        <v>21</v>
      </c>
      <c r="F10" s="1" t="str">
        <f>IFERROR(__xludf.DUMMYFUNCTION("""COMPUTED_VALUE"""),"460383")</f>
        <v>460383</v>
      </c>
      <c r="G10" s="4" t="str">
        <f t="shared" si="1"/>
        <v>06/29/2023</v>
      </c>
      <c r="H10" s="4" t="str">
        <f t="shared" si="2"/>
        <v>8/16/1994</v>
      </c>
      <c r="I10" s="4" t="str">
        <f t="shared" si="3"/>
        <v>Basic</v>
      </c>
      <c r="J10" s="4" t="str">
        <f t="shared" si="4"/>
        <v>Black</v>
      </c>
    </row>
    <row r="11" ht="14.25" customHeight="1">
      <c r="A11" s="1" t="s">
        <v>875</v>
      </c>
      <c r="B11" s="1" t="s">
        <v>200</v>
      </c>
      <c r="C11" s="1" t="s">
        <v>7</v>
      </c>
      <c r="D11" s="1" t="s">
        <v>9</v>
      </c>
      <c r="F11" s="1" t="str">
        <f>IFERROR(__xludf.DUMMYFUNCTION("""COMPUTED_VALUE"""),"994289")</f>
        <v>994289</v>
      </c>
      <c r="G11" s="4" t="str">
        <f t="shared" si="1"/>
        <v>06/16/2023</v>
      </c>
      <c r="H11" s="4" t="str">
        <f t="shared" si="2"/>
        <v>5/9/1990</v>
      </c>
      <c r="I11" s="4" t="str">
        <f t="shared" si="3"/>
        <v>Gold</v>
      </c>
      <c r="J11" s="4" t="str">
        <f t="shared" si="4"/>
        <v>White</v>
      </c>
    </row>
    <row r="12" ht="14.25" customHeight="1">
      <c r="A12" s="1" t="s">
        <v>875</v>
      </c>
      <c r="B12" s="1" t="s">
        <v>200</v>
      </c>
      <c r="C12" s="1" t="s">
        <v>5</v>
      </c>
      <c r="D12" s="1" t="s">
        <v>876</v>
      </c>
      <c r="F12" s="1" t="str">
        <f>IFERROR(__xludf.DUMMYFUNCTION("""COMPUTED_VALUE"""),"202785")</f>
        <v>202785</v>
      </c>
      <c r="G12" s="4" t="str">
        <f t="shared" si="1"/>
        <v>06/8/2023</v>
      </c>
      <c r="H12" s="4" t="str">
        <f t="shared" si="2"/>
        <v>9/11/1948</v>
      </c>
      <c r="I12" s="4" t="str">
        <f t="shared" si="3"/>
        <v>Platinum</v>
      </c>
      <c r="J12" s="4" t="str">
        <f t="shared" si="4"/>
        <v>Black</v>
      </c>
    </row>
    <row r="13" ht="14.25" customHeight="1">
      <c r="A13" s="1" t="s">
        <v>875</v>
      </c>
      <c r="B13" s="1" t="s">
        <v>200</v>
      </c>
      <c r="C13" s="1" t="s">
        <v>6</v>
      </c>
      <c r="D13" s="1" t="s">
        <v>11</v>
      </c>
      <c r="F13" s="1" t="str">
        <f>IFERROR(__xludf.DUMMYFUNCTION("""COMPUTED_VALUE"""),"539530")</f>
        <v>539530</v>
      </c>
      <c r="G13" s="4" t="str">
        <f t="shared" si="1"/>
        <v>06/20/2023</v>
      </c>
      <c r="H13" s="4" t="str">
        <f t="shared" si="2"/>
        <v>3/2/1983</v>
      </c>
      <c r="I13" s="4" t="str">
        <f t="shared" si="3"/>
        <v>Basic</v>
      </c>
      <c r="J13" s="4" t="str">
        <f t="shared" si="4"/>
        <v>Other</v>
      </c>
    </row>
    <row r="14" ht="14.25" customHeight="1">
      <c r="A14" s="1" t="s">
        <v>877</v>
      </c>
      <c r="B14" s="1" t="s">
        <v>307</v>
      </c>
      <c r="C14" s="1" t="s">
        <v>7</v>
      </c>
      <c r="D14" s="1" t="s">
        <v>9</v>
      </c>
      <c r="F14" s="1" t="str">
        <f>IFERROR(__xludf.DUMMYFUNCTION("""COMPUTED_VALUE"""),"868733")</f>
        <v>868733</v>
      </c>
      <c r="G14" s="4" t="str">
        <f t="shared" si="1"/>
        <v>06/22/2023</v>
      </c>
      <c r="H14" s="4" t="str">
        <f t="shared" si="2"/>
        <v>2/17/1967</v>
      </c>
      <c r="I14" s="4" t="str">
        <f t="shared" si="3"/>
        <v>Basic</v>
      </c>
      <c r="J14" s="4" t="str">
        <f t="shared" si="4"/>
        <v>Asian</v>
      </c>
    </row>
    <row r="15" ht="14.25" customHeight="1">
      <c r="A15" s="1" t="s">
        <v>877</v>
      </c>
      <c r="B15" s="1" t="s">
        <v>307</v>
      </c>
      <c r="C15" s="1" t="s">
        <v>5</v>
      </c>
      <c r="D15" s="1" t="s">
        <v>878</v>
      </c>
      <c r="F15" s="1" t="str">
        <f>IFERROR(__xludf.DUMMYFUNCTION("""COMPUTED_VALUE"""),"970794")</f>
        <v>970794</v>
      </c>
      <c r="G15" s="4" t="str">
        <f t="shared" si="1"/>
        <v>06/26/2023</v>
      </c>
      <c r="H15" s="4" t="str">
        <f t="shared" si="2"/>
        <v>11/1/1969</v>
      </c>
      <c r="I15" s="4" t="str">
        <f t="shared" si="3"/>
        <v>Platinum</v>
      </c>
      <c r="J15" s="4" t="str">
        <f t="shared" si="4"/>
        <v>Asian</v>
      </c>
    </row>
    <row r="16" ht="14.25" customHeight="1">
      <c r="A16" s="1" t="s">
        <v>877</v>
      </c>
      <c r="B16" s="1" t="s">
        <v>307</v>
      </c>
      <c r="C16" s="1" t="s">
        <v>6</v>
      </c>
      <c r="D16" s="1" t="s">
        <v>15</v>
      </c>
      <c r="F16" s="1" t="str">
        <f>IFERROR(__xludf.DUMMYFUNCTION("""COMPUTED_VALUE"""),"467340")</f>
        <v>467340</v>
      </c>
      <c r="G16" s="4" t="str">
        <f t="shared" si="1"/>
        <v>06/19/2023</v>
      </c>
      <c r="H16" s="4" t="str">
        <f t="shared" si="2"/>
        <v>9/4/1984</v>
      </c>
      <c r="I16" s="4" t="str">
        <f t="shared" si="3"/>
        <v>Platinum</v>
      </c>
      <c r="J16" s="4" t="str">
        <f t="shared" si="4"/>
        <v>White</v>
      </c>
    </row>
    <row r="17" ht="14.25" customHeight="1">
      <c r="A17" s="1" t="s">
        <v>879</v>
      </c>
      <c r="B17" s="1" t="s">
        <v>203</v>
      </c>
      <c r="C17" s="1" t="s">
        <v>7</v>
      </c>
      <c r="D17" s="1" t="s">
        <v>25</v>
      </c>
      <c r="F17" s="1" t="str">
        <f>IFERROR(__xludf.DUMMYFUNCTION("""COMPUTED_VALUE"""),"569939")</f>
        <v>569939</v>
      </c>
      <c r="G17" s="4" t="str">
        <f t="shared" si="1"/>
        <v>06/15/2023</v>
      </c>
      <c r="H17" s="4" t="str">
        <f t="shared" si="2"/>
        <v>12/11/2015</v>
      </c>
      <c r="I17" s="4" t="str">
        <f t="shared" si="3"/>
        <v>Gold</v>
      </c>
      <c r="J17" s="4" t="str">
        <f t="shared" si="4"/>
        <v>Black</v>
      </c>
    </row>
    <row r="18" ht="14.25" customHeight="1">
      <c r="A18" s="1" t="s">
        <v>879</v>
      </c>
      <c r="B18" s="1" t="s">
        <v>203</v>
      </c>
      <c r="C18" s="1" t="s">
        <v>5</v>
      </c>
      <c r="D18" s="1" t="s">
        <v>880</v>
      </c>
      <c r="F18" s="1" t="str">
        <f>IFERROR(__xludf.DUMMYFUNCTION("""COMPUTED_VALUE"""),"925655")</f>
        <v>925655</v>
      </c>
      <c r="G18" s="4" t="str">
        <f t="shared" si="1"/>
        <v>06/26/2023</v>
      </c>
      <c r="H18" s="4" t="str">
        <f t="shared" si="2"/>
        <v>12/26/2017</v>
      </c>
      <c r="I18" s="4" t="str">
        <f t="shared" si="3"/>
        <v>Gold</v>
      </c>
      <c r="J18" s="4" t="str">
        <f t="shared" si="4"/>
        <v>Asian</v>
      </c>
    </row>
    <row r="19" ht="14.25" customHeight="1">
      <c r="A19" s="1" t="s">
        <v>879</v>
      </c>
      <c r="B19" s="1" t="s">
        <v>203</v>
      </c>
      <c r="C19" s="1" t="s">
        <v>6</v>
      </c>
      <c r="D19" s="1" t="s">
        <v>21</v>
      </c>
      <c r="F19" s="1" t="str">
        <f>IFERROR(__xludf.DUMMYFUNCTION("""COMPUTED_VALUE"""),"589567")</f>
        <v>589567</v>
      </c>
      <c r="G19" s="4" t="str">
        <f t="shared" si="1"/>
        <v>06/17/2023</v>
      </c>
      <c r="H19" s="4" t="str">
        <f t="shared" si="2"/>
        <v>5/10/1961</v>
      </c>
      <c r="I19" s="4" t="str">
        <f t="shared" si="3"/>
        <v>Platinum</v>
      </c>
      <c r="J19" s="4" t="str">
        <f t="shared" si="4"/>
        <v>Black</v>
      </c>
    </row>
    <row r="20" ht="14.25" customHeight="1">
      <c r="A20" s="1" t="s">
        <v>881</v>
      </c>
      <c r="B20" s="1" t="s">
        <v>249</v>
      </c>
      <c r="C20" s="1" t="s">
        <v>7</v>
      </c>
      <c r="D20" s="1" t="s">
        <v>13</v>
      </c>
      <c r="F20" s="1" t="str">
        <f>IFERROR(__xludf.DUMMYFUNCTION("""COMPUTED_VALUE"""),"957074")</f>
        <v>957074</v>
      </c>
      <c r="G20" s="4" t="str">
        <f t="shared" si="1"/>
        <v>06/28/2023</v>
      </c>
      <c r="H20" s="4" t="str">
        <f t="shared" si="2"/>
        <v>9/18/1964</v>
      </c>
      <c r="I20" s="4" t="str">
        <f t="shared" si="3"/>
        <v>Gold</v>
      </c>
      <c r="J20" s="4" t="str">
        <f t="shared" si="4"/>
        <v>Other</v>
      </c>
    </row>
    <row r="21" ht="14.25" customHeight="1">
      <c r="A21" s="1" t="s">
        <v>881</v>
      </c>
      <c r="B21" s="1" t="s">
        <v>249</v>
      </c>
      <c r="C21" s="1" t="s">
        <v>5</v>
      </c>
      <c r="D21" s="1" t="s">
        <v>882</v>
      </c>
      <c r="F21" s="1" t="str">
        <f>IFERROR(__xludf.DUMMYFUNCTION("""COMPUTED_VALUE"""),"601428")</f>
        <v>601428</v>
      </c>
      <c r="G21" s="4" t="str">
        <f t="shared" si="1"/>
        <v>06/29/2023</v>
      </c>
      <c r="H21" s="4" t="str">
        <f t="shared" si="2"/>
        <v>12/23/1980</v>
      </c>
      <c r="I21" s="4" t="str">
        <f t="shared" si="3"/>
        <v>Platinum</v>
      </c>
      <c r="J21" s="4" t="str">
        <f t="shared" si="4"/>
        <v>White</v>
      </c>
    </row>
    <row r="22" ht="14.25" customHeight="1">
      <c r="A22" s="1" t="s">
        <v>881</v>
      </c>
      <c r="B22" s="1" t="s">
        <v>249</v>
      </c>
      <c r="C22" s="1" t="s">
        <v>6</v>
      </c>
      <c r="D22" s="1" t="s">
        <v>15</v>
      </c>
      <c r="F22" s="1" t="str">
        <f>IFERROR(__xludf.DUMMYFUNCTION("""COMPUTED_VALUE"""),"713519")</f>
        <v>713519</v>
      </c>
      <c r="G22" s="4" t="str">
        <f t="shared" si="1"/>
        <v>06/4/2023</v>
      </c>
      <c r="H22" s="4" t="str">
        <f t="shared" si="2"/>
        <v>2/25/1964</v>
      </c>
      <c r="I22" s="4" t="str">
        <f t="shared" si="3"/>
        <v>Gold</v>
      </c>
      <c r="J22" s="4" t="str">
        <f t="shared" si="4"/>
        <v>White</v>
      </c>
    </row>
    <row r="23" ht="14.25" customHeight="1">
      <c r="A23" s="1" t="s">
        <v>883</v>
      </c>
      <c r="B23" s="1" t="s">
        <v>211</v>
      </c>
      <c r="C23" s="1" t="s">
        <v>7</v>
      </c>
      <c r="D23" s="1" t="s">
        <v>13</v>
      </c>
      <c r="F23" s="1" t="str">
        <f>IFERROR(__xludf.DUMMYFUNCTION("""COMPUTED_VALUE"""),"149481")</f>
        <v>149481</v>
      </c>
      <c r="G23" s="4" t="str">
        <f t="shared" si="1"/>
        <v>06/18/2023</v>
      </c>
      <c r="H23" s="4" t="str">
        <f t="shared" si="2"/>
        <v>6/26/1959</v>
      </c>
      <c r="I23" s="4" t="str">
        <f t="shared" si="3"/>
        <v>Basic</v>
      </c>
      <c r="J23" s="4" t="str">
        <f t="shared" si="4"/>
        <v>Asian</v>
      </c>
    </row>
    <row r="24" ht="14.25" customHeight="1">
      <c r="A24" s="1" t="s">
        <v>883</v>
      </c>
      <c r="B24" s="1" t="s">
        <v>211</v>
      </c>
      <c r="C24" s="1" t="s">
        <v>5</v>
      </c>
      <c r="D24" s="1" t="s">
        <v>884</v>
      </c>
      <c r="F24" s="1" t="str">
        <f>IFERROR(__xludf.DUMMYFUNCTION("""COMPUTED_VALUE"""),"496679")</f>
        <v>496679</v>
      </c>
      <c r="G24" s="4" t="str">
        <f t="shared" si="1"/>
        <v>06/8/2023</v>
      </c>
      <c r="H24" s="4" t="str">
        <f t="shared" si="2"/>
        <v>10/19/1951</v>
      </c>
      <c r="I24" s="4" t="str">
        <f t="shared" si="3"/>
        <v>Basic</v>
      </c>
      <c r="J24" s="4" t="str">
        <f t="shared" si="4"/>
        <v>Black</v>
      </c>
    </row>
    <row r="25" ht="14.25" customHeight="1">
      <c r="A25" s="1" t="s">
        <v>883</v>
      </c>
      <c r="B25" s="1" t="s">
        <v>211</v>
      </c>
      <c r="C25" s="1" t="s">
        <v>6</v>
      </c>
      <c r="D25" s="1" t="s">
        <v>15</v>
      </c>
      <c r="F25" s="1" t="str">
        <f>IFERROR(__xludf.DUMMYFUNCTION("""COMPUTED_VALUE"""),"549280")</f>
        <v>549280</v>
      </c>
      <c r="G25" s="4" t="str">
        <f t="shared" si="1"/>
        <v>06/30/2023</v>
      </c>
      <c r="H25" s="4" t="str">
        <f t="shared" si="2"/>
        <v>12/3/1971</v>
      </c>
      <c r="I25" s="4" t="str">
        <f t="shared" si="3"/>
        <v>Platinum</v>
      </c>
      <c r="J25" s="4" t="str">
        <f t="shared" si="4"/>
        <v>Black</v>
      </c>
    </row>
    <row r="26" ht="14.25" customHeight="1">
      <c r="A26" s="1" t="s">
        <v>885</v>
      </c>
      <c r="B26" s="1" t="s">
        <v>378</v>
      </c>
      <c r="C26" s="1" t="s">
        <v>7</v>
      </c>
      <c r="D26" s="1" t="s">
        <v>25</v>
      </c>
      <c r="F26" s="1" t="str">
        <f>IFERROR(__xludf.DUMMYFUNCTION("""COMPUTED_VALUE"""),"731015")</f>
        <v>731015</v>
      </c>
      <c r="G26" s="4" t="str">
        <f t="shared" si="1"/>
        <v>06/10/2023</v>
      </c>
      <c r="H26" s="4" t="str">
        <f t="shared" si="2"/>
        <v>12/2/1955</v>
      </c>
      <c r="I26" s="4" t="str">
        <f t="shared" si="3"/>
        <v>Basic</v>
      </c>
      <c r="J26" s="4" t="str">
        <f t="shared" si="4"/>
        <v>Other</v>
      </c>
    </row>
    <row r="27" ht="14.25" customHeight="1">
      <c r="A27" s="1" t="s">
        <v>885</v>
      </c>
      <c r="B27" s="1" t="s">
        <v>378</v>
      </c>
      <c r="C27" s="1" t="s">
        <v>5</v>
      </c>
      <c r="D27" s="1" t="s">
        <v>886</v>
      </c>
      <c r="F27" s="1" t="str">
        <f>IFERROR(__xludf.DUMMYFUNCTION("""COMPUTED_VALUE"""),"564633")</f>
        <v>564633</v>
      </c>
      <c r="G27" s="4" t="str">
        <f t="shared" si="1"/>
        <v>06/20/2023</v>
      </c>
      <c r="H27" s="4" t="str">
        <f t="shared" si="2"/>
        <v>6/1/2011</v>
      </c>
      <c r="I27" s="4" t="str">
        <f t="shared" si="3"/>
        <v>Gold</v>
      </c>
      <c r="J27" s="4" t="str">
        <f t="shared" si="4"/>
        <v>Black</v>
      </c>
    </row>
    <row r="28" ht="14.25" customHeight="1">
      <c r="A28" s="1" t="s">
        <v>885</v>
      </c>
      <c r="B28" s="1" t="s">
        <v>378</v>
      </c>
      <c r="C28" s="1" t="s">
        <v>6</v>
      </c>
      <c r="D28" s="1" t="s">
        <v>21</v>
      </c>
      <c r="F28" s="1" t="str">
        <f>IFERROR(__xludf.DUMMYFUNCTION("""COMPUTED_VALUE"""),"979311")</f>
        <v>979311</v>
      </c>
      <c r="G28" s="4" t="str">
        <f t="shared" si="1"/>
        <v>06/8/2023</v>
      </c>
      <c r="H28" s="4" t="str">
        <f t="shared" si="2"/>
        <v>12/8/2010</v>
      </c>
      <c r="I28" s="4" t="str">
        <f t="shared" si="3"/>
        <v>Platinum</v>
      </c>
      <c r="J28" s="4" t="str">
        <f t="shared" si="4"/>
        <v>White</v>
      </c>
    </row>
    <row r="29" ht="14.25" customHeight="1">
      <c r="A29" s="1" t="s">
        <v>887</v>
      </c>
      <c r="B29" s="1" t="s">
        <v>249</v>
      </c>
      <c r="C29" s="1" t="s">
        <v>7</v>
      </c>
      <c r="D29" s="1" t="s">
        <v>13</v>
      </c>
      <c r="F29" s="1" t="str">
        <f>IFERROR(__xludf.DUMMYFUNCTION("""COMPUTED_VALUE"""),"492316")</f>
        <v>492316</v>
      </c>
      <c r="G29" s="4" t="str">
        <f t="shared" si="1"/>
        <v>06/13/2023</v>
      </c>
      <c r="H29" s="4" t="str">
        <f t="shared" si="2"/>
        <v>5/28/1964</v>
      </c>
      <c r="I29" s="4" t="str">
        <f t="shared" si="3"/>
        <v>Platinum</v>
      </c>
      <c r="J29" s="4" t="str">
        <f t="shared" si="4"/>
        <v>Other</v>
      </c>
    </row>
    <row r="30" ht="14.25" customHeight="1">
      <c r="A30" s="1" t="s">
        <v>887</v>
      </c>
      <c r="B30" s="1" t="s">
        <v>249</v>
      </c>
      <c r="C30" s="1" t="s">
        <v>5</v>
      </c>
      <c r="D30" s="1" t="s">
        <v>888</v>
      </c>
      <c r="F30" s="1" t="str">
        <f>IFERROR(__xludf.DUMMYFUNCTION("""COMPUTED_VALUE"""),"458440")</f>
        <v>458440</v>
      </c>
      <c r="G30" s="4" t="str">
        <f t="shared" si="1"/>
        <v>06/4/2023</v>
      </c>
      <c r="H30" s="4" t="str">
        <f t="shared" si="2"/>
        <v>7/21/1989</v>
      </c>
      <c r="I30" s="4" t="str">
        <f t="shared" si="3"/>
        <v>Gold</v>
      </c>
      <c r="J30" s="4" t="str">
        <f t="shared" si="4"/>
        <v>White</v>
      </c>
    </row>
    <row r="31" ht="14.25" customHeight="1">
      <c r="A31" s="1" t="s">
        <v>887</v>
      </c>
      <c r="B31" s="1" t="s">
        <v>249</v>
      </c>
      <c r="C31" s="1" t="s">
        <v>6</v>
      </c>
      <c r="D31" s="1" t="s">
        <v>15</v>
      </c>
      <c r="F31" s="1" t="str">
        <f>IFERROR(__xludf.DUMMYFUNCTION("""COMPUTED_VALUE"""),"850891")</f>
        <v>850891</v>
      </c>
      <c r="G31" s="4" t="str">
        <f t="shared" si="1"/>
        <v>06/11/2023</v>
      </c>
      <c r="H31" s="4" t="str">
        <f t="shared" si="2"/>
        <v>4/14/1941</v>
      </c>
      <c r="I31" s="4" t="str">
        <f t="shared" si="3"/>
        <v>Basic</v>
      </c>
      <c r="J31" s="4" t="str">
        <f t="shared" si="4"/>
        <v>Black</v>
      </c>
    </row>
    <row r="32" ht="14.25" customHeight="1">
      <c r="A32" s="1" t="s">
        <v>889</v>
      </c>
      <c r="B32" s="1" t="s">
        <v>191</v>
      </c>
      <c r="C32" s="1" t="s">
        <v>7</v>
      </c>
      <c r="D32" s="1" t="s">
        <v>25</v>
      </c>
      <c r="F32" s="1" t="str">
        <f>IFERROR(__xludf.DUMMYFUNCTION("""COMPUTED_VALUE"""),"560790")</f>
        <v>560790</v>
      </c>
      <c r="G32" s="4" t="str">
        <f t="shared" si="1"/>
        <v>06/1/2023</v>
      </c>
      <c r="H32" s="4" t="str">
        <f t="shared" si="2"/>
        <v>5/25/2006</v>
      </c>
      <c r="I32" s="4" t="str">
        <f t="shared" si="3"/>
        <v>Basic</v>
      </c>
      <c r="J32" s="4" t="str">
        <f t="shared" si="4"/>
        <v>Other</v>
      </c>
    </row>
    <row r="33" ht="14.25" customHeight="1">
      <c r="A33" s="1" t="s">
        <v>889</v>
      </c>
      <c r="B33" s="1" t="s">
        <v>191</v>
      </c>
      <c r="C33" s="1" t="s">
        <v>5</v>
      </c>
      <c r="D33" s="1" t="s">
        <v>890</v>
      </c>
      <c r="F33" s="1" t="str">
        <f>IFERROR(__xludf.DUMMYFUNCTION("""COMPUTED_VALUE"""),"336329")</f>
        <v>336329</v>
      </c>
      <c r="G33" s="4" t="str">
        <f t="shared" si="1"/>
        <v>06/28/2023</v>
      </c>
      <c r="H33" s="4" t="str">
        <f t="shared" si="2"/>
        <v>1/23/1947</v>
      </c>
      <c r="I33" s="4" t="str">
        <f t="shared" si="3"/>
        <v>Platinum</v>
      </c>
      <c r="J33" s="4" t="str">
        <f t="shared" si="4"/>
        <v>White</v>
      </c>
    </row>
    <row r="34" ht="14.25" customHeight="1">
      <c r="A34" s="1" t="s">
        <v>889</v>
      </c>
      <c r="B34" s="1" t="s">
        <v>191</v>
      </c>
      <c r="C34" s="1" t="s">
        <v>6</v>
      </c>
      <c r="D34" s="1" t="s">
        <v>11</v>
      </c>
      <c r="F34" s="1" t="str">
        <f>IFERROR(__xludf.DUMMYFUNCTION("""COMPUTED_VALUE"""),"202010")</f>
        <v>202010</v>
      </c>
      <c r="G34" s="4" t="str">
        <f t="shared" si="1"/>
        <v>06/9/2023</v>
      </c>
      <c r="H34" s="4" t="str">
        <f t="shared" si="2"/>
        <v>11/23/1988</v>
      </c>
      <c r="I34" s="4" t="str">
        <f t="shared" si="3"/>
        <v>Gold</v>
      </c>
      <c r="J34" s="4" t="str">
        <f t="shared" si="4"/>
        <v>Black</v>
      </c>
    </row>
    <row r="35" ht="14.25" customHeight="1">
      <c r="A35" s="1" t="s">
        <v>891</v>
      </c>
      <c r="B35" s="1" t="s">
        <v>182</v>
      </c>
      <c r="C35" s="1" t="s">
        <v>7</v>
      </c>
      <c r="D35" s="1" t="s">
        <v>9</v>
      </c>
      <c r="F35" s="1" t="str">
        <f>IFERROR(__xludf.DUMMYFUNCTION("""COMPUTED_VALUE"""),"649840")</f>
        <v>649840</v>
      </c>
      <c r="G35" s="4" t="str">
        <f t="shared" si="1"/>
        <v>06/11/2023</v>
      </c>
      <c r="H35" s="4" t="str">
        <f t="shared" si="2"/>
        <v>2/28/1947</v>
      </c>
      <c r="I35" s="4" t="str">
        <f t="shared" si="3"/>
        <v>Basic</v>
      </c>
      <c r="J35" s="4" t="str">
        <f t="shared" si="4"/>
        <v>Asian</v>
      </c>
    </row>
    <row r="36" ht="14.25" customHeight="1">
      <c r="A36" s="1" t="s">
        <v>891</v>
      </c>
      <c r="B36" s="1" t="s">
        <v>182</v>
      </c>
      <c r="C36" s="1" t="s">
        <v>5</v>
      </c>
      <c r="D36" s="1" t="s">
        <v>892</v>
      </c>
      <c r="F36" s="1" t="str">
        <f>IFERROR(__xludf.DUMMYFUNCTION("""COMPUTED_VALUE"""),"949894")</f>
        <v>949894</v>
      </c>
      <c r="G36" s="4" t="str">
        <f t="shared" si="1"/>
        <v>06/22/2023</v>
      </c>
      <c r="H36" s="4" t="str">
        <f t="shared" si="2"/>
        <v>12/21/1946</v>
      </c>
      <c r="I36" s="4" t="str">
        <f t="shared" si="3"/>
        <v>Gold</v>
      </c>
      <c r="J36" s="4" t="str">
        <f t="shared" si="4"/>
        <v>Asian</v>
      </c>
    </row>
    <row r="37" ht="14.25" customHeight="1">
      <c r="A37" s="1" t="s">
        <v>891</v>
      </c>
      <c r="B37" s="1" t="s">
        <v>182</v>
      </c>
      <c r="C37" s="1" t="s">
        <v>6</v>
      </c>
      <c r="D37" s="1" t="s">
        <v>21</v>
      </c>
      <c r="F37" s="1" t="str">
        <f>IFERROR(__xludf.DUMMYFUNCTION("""COMPUTED_VALUE"""),"234458")</f>
        <v>234458</v>
      </c>
      <c r="G37" s="4" t="str">
        <f t="shared" si="1"/>
        <v>06/27/2023</v>
      </c>
      <c r="H37" s="4" t="str">
        <f t="shared" si="2"/>
        <v>5/29/2010</v>
      </c>
      <c r="I37" s="4" t="str">
        <f t="shared" si="3"/>
        <v>Basic</v>
      </c>
      <c r="J37" s="4" t="str">
        <f t="shared" si="4"/>
        <v>White</v>
      </c>
    </row>
    <row r="38" ht="14.25" customHeight="1">
      <c r="A38" s="1" t="s">
        <v>893</v>
      </c>
      <c r="B38" s="1" t="s">
        <v>273</v>
      </c>
      <c r="C38" s="1" t="s">
        <v>7</v>
      </c>
      <c r="D38" s="1" t="s">
        <v>19</v>
      </c>
      <c r="F38" s="1" t="str">
        <f>IFERROR(__xludf.DUMMYFUNCTION("""COMPUTED_VALUE"""),"466462")</f>
        <v>466462</v>
      </c>
      <c r="G38" s="4" t="str">
        <f t="shared" si="1"/>
        <v>06/19/2023</v>
      </c>
      <c r="H38" s="4" t="str">
        <f t="shared" si="2"/>
        <v>5/8/1942</v>
      </c>
      <c r="I38" s="4" t="str">
        <f t="shared" si="3"/>
        <v>Platinum</v>
      </c>
      <c r="J38" s="4" t="str">
        <f t="shared" si="4"/>
        <v>Black</v>
      </c>
    </row>
    <row r="39" ht="14.25" customHeight="1">
      <c r="A39" s="1" t="s">
        <v>893</v>
      </c>
      <c r="B39" s="1" t="s">
        <v>273</v>
      </c>
      <c r="C39" s="1" t="s">
        <v>5</v>
      </c>
      <c r="D39" s="1" t="s">
        <v>894</v>
      </c>
      <c r="F39" s="1" t="str">
        <f>IFERROR(__xludf.DUMMYFUNCTION("""COMPUTED_VALUE"""),"571041")</f>
        <v>571041</v>
      </c>
      <c r="G39" s="4" t="str">
        <f t="shared" si="1"/>
        <v>06/7/2023</v>
      </c>
      <c r="H39" s="4" t="str">
        <f t="shared" si="2"/>
        <v>4/16/1947</v>
      </c>
      <c r="I39" s="4" t="str">
        <f t="shared" si="3"/>
        <v>Basic</v>
      </c>
      <c r="J39" s="4" t="str">
        <f t="shared" si="4"/>
        <v>Other</v>
      </c>
    </row>
    <row r="40" ht="14.25" customHeight="1">
      <c r="A40" s="1" t="s">
        <v>893</v>
      </c>
      <c r="B40" s="1" t="s">
        <v>273</v>
      </c>
      <c r="C40" s="1" t="s">
        <v>6</v>
      </c>
      <c r="D40" s="1" t="s">
        <v>21</v>
      </c>
      <c r="F40" s="1" t="str">
        <f>IFERROR(__xludf.DUMMYFUNCTION("""COMPUTED_VALUE"""),"847929")</f>
        <v>847929</v>
      </c>
      <c r="G40" s="4" t="str">
        <f t="shared" si="1"/>
        <v>06/16/2023</v>
      </c>
      <c r="H40" s="4" t="str">
        <f t="shared" si="2"/>
        <v>10/14/1951</v>
      </c>
      <c r="I40" s="4" t="str">
        <f t="shared" si="3"/>
        <v>Basic</v>
      </c>
      <c r="J40" s="4" t="str">
        <f t="shared" si="4"/>
        <v>Asian</v>
      </c>
    </row>
    <row r="41" ht="14.25" customHeight="1">
      <c r="A41" s="1" t="s">
        <v>895</v>
      </c>
      <c r="B41" s="1" t="s">
        <v>230</v>
      </c>
      <c r="C41" s="1" t="s">
        <v>7</v>
      </c>
      <c r="D41" s="1" t="s">
        <v>19</v>
      </c>
      <c r="F41" s="1" t="str">
        <f>IFERROR(__xludf.DUMMYFUNCTION("""COMPUTED_VALUE"""),"865336")</f>
        <v>865336</v>
      </c>
      <c r="G41" s="4" t="str">
        <f t="shared" si="1"/>
        <v>06/15/2023</v>
      </c>
      <c r="H41" s="4" t="str">
        <f t="shared" si="2"/>
        <v>11/27/1969</v>
      </c>
      <c r="I41" s="4" t="str">
        <f t="shared" si="3"/>
        <v>Gold</v>
      </c>
      <c r="J41" s="4" t="str">
        <f t="shared" si="4"/>
        <v>Other</v>
      </c>
    </row>
    <row r="42" ht="14.25" customHeight="1">
      <c r="A42" s="1" t="s">
        <v>895</v>
      </c>
      <c r="B42" s="1" t="s">
        <v>230</v>
      </c>
      <c r="C42" s="1" t="s">
        <v>5</v>
      </c>
      <c r="D42" s="1" t="s">
        <v>896</v>
      </c>
      <c r="F42" s="1" t="str">
        <f>IFERROR(__xludf.DUMMYFUNCTION("""COMPUTED_VALUE"""),"900289")</f>
        <v>900289</v>
      </c>
      <c r="G42" s="4" t="str">
        <f t="shared" si="1"/>
        <v>06/16/2023</v>
      </c>
      <c r="H42" s="4" t="str">
        <f t="shared" si="2"/>
        <v>1/29/1987</v>
      </c>
      <c r="I42" s="4" t="str">
        <f t="shared" si="3"/>
        <v>Basic</v>
      </c>
      <c r="J42" s="4" t="str">
        <f t="shared" si="4"/>
        <v>Other</v>
      </c>
    </row>
    <row r="43" ht="14.25" customHeight="1">
      <c r="A43" s="1" t="s">
        <v>895</v>
      </c>
      <c r="B43" s="1" t="s">
        <v>230</v>
      </c>
      <c r="C43" s="1" t="s">
        <v>6</v>
      </c>
      <c r="D43" s="1" t="s">
        <v>11</v>
      </c>
      <c r="F43" s="1" t="str">
        <f>IFERROR(__xludf.DUMMYFUNCTION("""COMPUTED_VALUE"""),"343987")</f>
        <v>343987</v>
      </c>
      <c r="G43" s="4" t="str">
        <f t="shared" si="1"/>
        <v>06/25/2023</v>
      </c>
      <c r="H43" s="4" t="str">
        <f t="shared" si="2"/>
        <v>7/31/2010</v>
      </c>
      <c r="I43" s="4" t="str">
        <f t="shared" si="3"/>
        <v>Gold</v>
      </c>
      <c r="J43" s="4" t="str">
        <f t="shared" si="4"/>
        <v>Other</v>
      </c>
    </row>
    <row r="44" ht="14.25" customHeight="1">
      <c r="A44" s="1" t="s">
        <v>897</v>
      </c>
      <c r="B44" s="1" t="s">
        <v>381</v>
      </c>
      <c r="C44" s="1" t="s">
        <v>7</v>
      </c>
      <c r="D44" s="1" t="s">
        <v>13</v>
      </c>
      <c r="F44" s="1" t="str">
        <f>IFERROR(__xludf.DUMMYFUNCTION("""COMPUTED_VALUE"""),"345349")</f>
        <v>345349</v>
      </c>
      <c r="G44" s="4" t="str">
        <f t="shared" si="1"/>
        <v>06/26/2023</v>
      </c>
      <c r="H44" s="4" t="str">
        <f t="shared" si="2"/>
        <v>2/22/2013</v>
      </c>
      <c r="I44" s="4" t="str">
        <f t="shared" si="3"/>
        <v>Basic</v>
      </c>
      <c r="J44" s="4" t="str">
        <f t="shared" si="4"/>
        <v>Black</v>
      </c>
    </row>
    <row r="45" ht="14.25" customHeight="1">
      <c r="A45" s="1" t="s">
        <v>897</v>
      </c>
      <c r="B45" s="1" t="s">
        <v>381</v>
      </c>
      <c r="C45" s="1" t="s">
        <v>5</v>
      </c>
      <c r="D45" s="1" t="s">
        <v>898</v>
      </c>
      <c r="F45" s="1" t="str">
        <f>IFERROR(__xludf.DUMMYFUNCTION("""COMPUTED_VALUE"""),"430898")</f>
        <v>430898</v>
      </c>
      <c r="G45" s="4" t="str">
        <f t="shared" si="1"/>
        <v>06/11/2023</v>
      </c>
      <c r="H45" s="4" t="str">
        <f t="shared" si="2"/>
        <v>5/4/1947</v>
      </c>
      <c r="I45" s="4" t="str">
        <f t="shared" si="3"/>
        <v>Basic</v>
      </c>
      <c r="J45" s="4" t="str">
        <f t="shared" si="4"/>
        <v>Other</v>
      </c>
    </row>
    <row r="46" ht="14.25" customHeight="1">
      <c r="A46" s="1" t="s">
        <v>897</v>
      </c>
      <c r="B46" s="1" t="s">
        <v>381</v>
      </c>
      <c r="C46" s="1" t="s">
        <v>6</v>
      </c>
      <c r="D46" s="1" t="s">
        <v>11</v>
      </c>
      <c r="F46" s="1" t="str">
        <f>IFERROR(__xludf.DUMMYFUNCTION("""COMPUTED_VALUE"""),"131132")</f>
        <v>131132</v>
      </c>
      <c r="G46" s="4" t="str">
        <f t="shared" si="1"/>
        <v>06/29/2023</v>
      </c>
      <c r="H46" s="4" t="str">
        <f t="shared" si="2"/>
        <v>8/6/1949</v>
      </c>
      <c r="I46" s="4" t="str">
        <f t="shared" si="3"/>
        <v>Platinum</v>
      </c>
      <c r="J46" s="4" t="str">
        <f t="shared" si="4"/>
        <v>White</v>
      </c>
    </row>
    <row r="47" ht="14.25" customHeight="1">
      <c r="A47" s="1" t="s">
        <v>899</v>
      </c>
      <c r="B47" s="1" t="s">
        <v>264</v>
      </c>
      <c r="C47" s="1" t="s">
        <v>7</v>
      </c>
      <c r="D47" s="1" t="s">
        <v>25</v>
      </c>
      <c r="F47" s="1" t="str">
        <f>IFERROR(__xludf.DUMMYFUNCTION("""COMPUTED_VALUE"""),"814220")</f>
        <v>814220</v>
      </c>
      <c r="G47" s="4" t="str">
        <f t="shared" si="1"/>
        <v>06/9/2023</v>
      </c>
      <c r="H47" s="4" t="str">
        <f t="shared" si="2"/>
        <v>4/21/1942</v>
      </c>
      <c r="I47" s="4" t="str">
        <f t="shared" si="3"/>
        <v>Basic</v>
      </c>
      <c r="J47" s="4" t="str">
        <f t="shared" si="4"/>
        <v>Other</v>
      </c>
    </row>
    <row r="48" ht="14.25" customHeight="1">
      <c r="A48" s="1" t="s">
        <v>899</v>
      </c>
      <c r="B48" s="1" t="s">
        <v>264</v>
      </c>
      <c r="C48" s="1" t="s">
        <v>5</v>
      </c>
      <c r="D48" s="1" t="s">
        <v>900</v>
      </c>
      <c r="F48" s="1" t="str">
        <f>IFERROR(__xludf.DUMMYFUNCTION("""COMPUTED_VALUE"""),"467421")</f>
        <v>467421</v>
      </c>
      <c r="G48" s="4" t="str">
        <f t="shared" si="1"/>
        <v>06/2/2023</v>
      </c>
      <c r="H48" s="4" t="str">
        <f t="shared" si="2"/>
        <v>4/12/1975</v>
      </c>
      <c r="I48" s="4" t="str">
        <f t="shared" si="3"/>
        <v>Basic</v>
      </c>
      <c r="J48" s="4" t="str">
        <f t="shared" si="4"/>
        <v>Asian</v>
      </c>
    </row>
    <row r="49" ht="14.25" customHeight="1">
      <c r="A49" s="1" t="s">
        <v>899</v>
      </c>
      <c r="B49" s="1" t="s">
        <v>264</v>
      </c>
      <c r="C49" s="1" t="s">
        <v>6</v>
      </c>
      <c r="D49" s="1" t="s">
        <v>15</v>
      </c>
      <c r="F49" s="1" t="str">
        <f>IFERROR(__xludf.DUMMYFUNCTION("""COMPUTED_VALUE"""),"687384")</f>
        <v>687384</v>
      </c>
      <c r="G49" s="4" t="str">
        <f t="shared" si="1"/>
        <v>06/15/2023</v>
      </c>
      <c r="H49" s="4" t="str">
        <f t="shared" si="2"/>
        <v>4/2/1963</v>
      </c>
      <c r="I49" s="4" t="str">
        <f t="shared" si="3"/>
        <v>Basic</v>
      </c>
      <c r="J49" s="4" t="str">
        <f t="shared" si="4"/>
        <v>Asian</v>
      </c>
    </row>
    <row r="50" ht="14.25" customHeight="1">
      <c r="A50" s="1" t="s">
        <v>901</v>
      </c>
      <c r="B50" s="1" t="s">
        <v>230</v>
      </c>
      <c r="C50" s="1" t="s">
        <v>7</v>
      </c>
      <c r="D50" s="1" t="s">
        <v>19</v>
      </c>
      <c r="F50" s="1" t="str">
        <f>IFERROR(__xludf.DUMMYFUNCTION("""COMPUTED_VALUE"""),"202946")</f>
        <v>202946</v>
      </c>
      <c r="G50" s="4" t="str">
        <f t="shared" si="1"/>
        <v>06/18/2023</v>
      </c>
      <c r="H50" s="4" t="str">
        <f t="shared" si="2"/>
        <v>9/16/1960</v>
      </c>
      <c r="I50" s="4" t="str">
        <f t="shared" si="3"/>
        <v>Gold</v>
      </c>
      <c r="J50" s="4" t="str">
        <f t="shared" si="4"/>
        <v>Black</v>
      </c>
    </row>
    <row r="51" ht="14.25" customHeight="1">
      <c r="A51" s="1" t="s">
        <v>901</v>
      </c>
      <c r="B51" s="1" t="s">
        <v>230</v>
      </c>
      <c r="C51" s="1" t="s">
        <v>5</v>
      </c>
      <c r="D51" s="1" t="s">
        <v>902</v>
      </c>
      <c r="F51" s="1" t="str">
        <f>IFERROR(__xludf.DUMMYFUNCTION("""COMPUTED_VALUE"""),"683299")</f>
        <v>683299</v>
      </c>
      <c r="G51" s="4" t="str">
        <f t="shared" si="1"/>
        <v>06/5/2023</v>
      </c>
      <c r="H51" s="4" t="str">
        <f t="shared" si="2"/>
        <v>9/12/2000</v>
      </c>
      <c r="I51" s="4" t="str">
        <f t="shared" si="3"/>
        <v>Basic</v>
      </c>
      <c r="J51" s="4" t="str">
        <f t="shared" si="4"/>
        <v>Asian</v>
      </c>
    </row>
    <row r="52" ht="14.25" customHeight="1">
      <c r="A52" s="1" t="s">
        <v>901</v>
      </c>
      <c r="B52" s="1" t="s">
        <v>230</v>
      </c>
      <c r="C52" s="1" t="s">
        <v>6</v>
      </c>
      <c r="D52" s="1" t="s">
        <v>15</v>
      </c>
      <c r="F52" s="1" t="str">
        <f>IFERROR(__xludf.DUMMYFUNCTION("""COMPUTED_VALUE"""),"503844")</f>
        <v>503844</v>
      </c>
      <c r="G52" s="4" t="str">
        <f t="shared" si="1"/>
        <v>06/25/2023</v>
      </c>
      <c r="H52" s="4" t="str">
        <f t="shared" si="2"/>
        <v>10/2/1981</v>
      </c>
      <c r="I52" s="4" t="str">
        <f t="shared" si="3"/>
        <v>Basic</v>
      </c>
      <c r="J52" s="4" t="str">
        <f t="shared" si="4"/>
        <v>Asian</v>
      </c>
    </row>
    <row r="53" ht="14.25" customHeight="1">
      <c r="A53" s="1" t="s">
        <v>903</v>
      </c>
      <c r="B53" s="1" t="s">
        <v>223</v>
      </c>
      <c r="C53" s="1" t="s">
        <v>7</v>
      </c>
      <c r="D53" s="1" t="s">
        <v>25</v>
      </c>
      <c r="F53" s="1" t="str">
        <f>IFERROR(__xludf.DUMMYFUNCTION("""COMPUTED_VALUE"""),"214055")</f>
        <v>214055</v>
      </c>
      <c r="G53" s="4" t="str">
        <f t="shared" si="1"/>
        <v>06/21/2023</v>
      </c>
      <c r="H53" s="4" t="str">
        <f t="shared" si="2"/>
        <v>12/4/1976</v>
      </c>
      <c r="I53" s="4" t="str">
        <f t="shared" si="3"/>
        <v>Basic</v>
      </c>
      <c r="J53" s="4" t="str">
        <f t="shared" si="4"/>
        <v>Asian</v>
      </c>
    </row>
    <row r="54" ht="14.25" customHeight="1">
      <c r="A54" s="1" t="s">
        <v>903</v>
      </c>
      <c r="B54" s="1" t="s">
        <v>223</v>
      </c>
      <c r="C54" s="1" t="s">
        <v>5</v>
      </c>
      <c r="D54" s="1" t="s">
        <v>904</v>
      </c>
      <c r="F54" s="1" t="str">
        <f>IFERROR(__xludf.DUMMYFUNCTION("""COMPUTED_VALUE"""),"830903")</f>
        <v>830903</v>
      </c>
      <c r="G54" s="4" t="str">
        <f t="shared" si="1"/>
        <v>06/7/2023</v>
      </c>
      <c r="H54" s="4" t="str">
        <f t="shared" si="2"/>
        <v>3/3/1994</v>
      </c>
      <c r="I54" s="4" t="str">
        <f t="shared" si="3"/>
        <v>Gold</v>
      </c>
      <c r="J54" s="4" t="str">
        <f t="shared" si="4"/>
        <v>Other</v>
      </c>
    </row>
    <row r="55" ht="14.25" customHeight="1">
      <c r="A55" s="1" t="s">
        <v>903</v>
      </c>
      <c r="B55" s="1" t="s">
        <v>223</v>
      </c>
      <c r="C55" s="1" t="s">
        <v>6</v>
      </c>
      <c r="D55" s="1" t="s">
        <v>11</v>
      </c>
      <c r="F55" s="1" t="str">
        <f>IFERROR(__xludf.DUMMYFUNCTION("""COMPUTED_VALUE"""),"654273")</f>
        <v>654273</v>
      </c>
      <c r="G55" s="4" t="str">
        <f t="shared" si="1"/>
        <v>06/16/2023</v>
      </c>
      <c r="H55" s="4" t="str">
        <f t="shared" si="2"/>
        <v>10/10/1942</v>
      </c>
      <c r="I55" s="4" t="str">
        <f t="shared" si="3"/>
        <v>Gold</v>
      </c>
      <c r="J55" s="4" t="str">
        <f t="shared" si="4"/>
        <v>Black</v>
      </c>
    </row>
    <row r="56" ht="14.25" customHeight="1">
      <c r="A56" s="1" t="s">
        <v>905</v>
      </c>
      <c r="B56" s="1" t="s">
        <v>211</v>
      </c>
      <c r="C56" s="1" t="s">
        <v>7</v>
      </c>
      <c r="D56" s="1" t="s">
        <v>9</v>
      </c>
      <c r="F56" s="1" t="str">
        <f>IFERROR(__xludf.DUMMYFUNCTION("""COMPUTED_VALUE"""),"451936")</f>
        <v>451936</v>
      </c>
      <c r="G56" s="4" t="str">
        <f t="shared" si="1"/>
        <v>06/10/2023</v>
      </c>
      <c r="H56" s="4" t="str">
        <f t="shared" si="2"/>
        <v>10/22/1958</v>
      </c>
      <c r="I56" s="4" t="str">
        <f t="shared" si="3"/>
        <v>Basic</v>
      </c>
      <c r="J56" s="4" t="str">
        <f t="shared" si="4"/>
        <v>Asian</v>
      </c>
    </row>
    <row r="57" ht="14.25" customHeight="1">
      <c r="A57" s="1" t="s">
        <v>905</v>
      </c>
      <c r="B57" s="1" t="s">
        <v>211</v>
      </c>
      <c r="C57" s="1" t="s">
        <v>5</v>
      </c>
      <c r="D57" s="1" t="s">
        <v>906</v>
      </c>
      <c r="F57" s="1" t="str">
        <f>IFERROR(__xludf.DUMMYFUNCTION("""COMPUTED_VALUE"""),"561709")</f>
        <v>561709</v>
      </c>
      <c r="G57" s="4" t="str">
        <f t="shared" si="1"/>
        <v>06/30/2023</v>
      </c>
      <c r="H57" s="4" t="str">
        <f t="shared" si="2"/>
        <v>11/23/1959</v>
      </c>
      <c r="I57" s="4" t="str">
        <f t="shared" si="3"/>
        <v>Basic</v>
      </c>
      <c r="J57" s="4" t="str">
        <f t="shared" si="4"/>
        <v>Asian</v>
      </c>
    </row>
    <row r="58" ht="14.25" customHeight="1">
      <c r="A58" s="1" t="s">
        <v>905</v>
      </c>
      <c r="B58" s="1" t="s">
        <v>211</v>
      </c>
      <c r="C58" s="1" t="s">
        <v>6</v>
      </c>
      <c r="D58" s="1" t="s">
        <v>15</v>
      </c>
      <c r="F58" s="1" t="str">
        <f>IFERROR(__xludf.DUMMYFUNCTION("""COMPUTED_VALUE"""),"603071")</f>
        <v>603071</v>
      </c>
      <c r="G58" s="4" t="str">
        <f t="shared" si="1"/>
        <v>06/25/2023</v>
      </c>
      <c r="H58" s="4" t="str">
        <f t="shared" si="2"/>
        <v>5/7/1969</v>
      </c>
      <c r="I58" s="4" t="str">
        <f t="shared" si="3"/>
        <v>Basic</v>
      </c>
      <c r="J58" s="4" t="str">
        <f t="shared" si="4"/>
        <v>Other</v>
      </c>
    </row>
    <row r="59" ht="14.25" customHeight="1">
      <c r="A59" s="1" t="s">
        <v>907</v>
      </c>
      <c r="B59" s="1" t="s">
        <v>378</v>
      </c>
      <c r="C59" s="1" t="s">
        <v>7</v>
      </c>
      <c r="D59" s="1" t="s">
        <v>13</v>
      </c>
      <c r="F59" s="1" t="str">
        <f>IFERROR(__xludf.DUMMYFUNCTION("""COMPUTED_VALUE"""),"298919")</f>
        <v>298919</v>
      </c>
      <c r="G59" s="4" t="str">
        <f t="shared" si="1"/>
        <v>06/3/2023</v>
      </c>
      <c r="H59" s="4" t="str">
        <f t="shared" si="2"/>
        <v>7/17/2008</v>
      </c>
      <c r="I59" s="4" t="str">
        <f t="shared" si="3"/>
        <v>Platinum</v>
      </c>
      <c r="J59" s="4" t="str">
        <f t="shared" si="4"/>
        <v>Asian</v>
      </c>
    </row>
    <row r="60" ht="14.25" customHeight="1">
      <c r="A60" s="1" t="s">
        <v>907</v>
      </c>
      <c r="B60" s="1" t="s">
        <v>378</v>
      </c>
      <c r="C60" s="1" t="s">
        <v>5</v>
      </c>
      <c r="D60" s="1" t="s">
        <v>908</v>
      </c>
      <c r="F60" s="1" t="str">
        <f>IFERROR(__xludf.DUMMYFUNCTION("""COMPUTED_VALUE"""),"729571")</f>
        <v>729571</v>
      </c>
      <c r="G60" s="4" t="str">
        <f t="shared" si="1"/>
        <v>06/26/2023</v>
      </c>
      <c r="H60" s="4" t="str">
        <f t="shared" si="2"/>
        <v>8/1/2004</v>
      </c>
      <c r="I60" s="4" t="str">
        <f t="shared" si="3"/>
        <v>Platinum</v>
      </c>
      <c r="J60" s="4" t="str">
        <f t="shared" si="4"/>
        <v>Black</v>
      </c>
    </row>
    <row r="61" ht="14.25" customHeight="1">
      <c r="A61" s="1" t="s">
        <v>907</v>
      </c>
      <c r="B61" s="1" t="s">
        <v>378</v>
      </c>
      <c r="C61" s="1" t="s">
        <v>6</v>
      </c>
      <c r="D61" s="1" t="s">
        <v>11</v>
      </c>
      <c r="F61" s="1" t="str">
        <f>IFERROR(__xludf.DUMMYFUNCTION("""COMPUTED_VALUE"""),"182216")</f>
        <v>182216</v>
      </c>
      <c r="G61" s="4" t="str">
        <f t="shared" si="1"/>
        <v>06/11/2023</v>
      </c>
      <c r="H61" s="4" t="str">
        <f t="shared" si="2"/>
        <v>2/13/1979</v>
      </c>
      <c r="I61" s="4" t="str">
        <f t="shared" si="3"/>
        <v>Platinum</v>
      </c>
      <c r="J61" s="4" t="str">
        <f t="shared" si="4"/>
        <v>Other</v>
      </c>
    </row>
    <row r="62" ht="14.25" customHeight="1">
      <c r="A62" s="1" t="s">
        <v>909</v>
      </c>
      <c r="B62" s="1" t="s">
        <v>310</v>
      </c>
      <c r="C62" s="1" t="s">
        <v>7</v>
      </c>
      <c r="D62" s="1" t="s">
        <v>13</v>
      </c>
      <c r="F62" s="1" t="str">
        <f>IFERROR(__xludf.DUMMYFUNCTION("""COMPUTED_VALUE"""),"510071")</f>
        <v>510071</v>
      </c>
      <c r="G62" s="4" t="str">
        <f t="shared" si="1"/>
        <v>06/13/2023</v>
      </c>
      <c r="H62" s="4" t="str">
        <f t="shared" si="2"/>
        <v>10/10/1992</v>
      </c>
      <c r="I62" s="4" t="str">
        <f t="shared" si="3"/>
        <v>Platinum</v>
      </c>
      <c r="J62" s="4" t="str">
        <f t="shared" si="4"/>
        <v>Other</v>
      </c>
    </row>
    <row r="63" ht="14.25" customHeight="1">
      <c r="A63" s="1" t="s">
        <v>909</v>
      </c>
      <c r="B63" s="1" t="s">
        <v>310</v>
      </c>
      <c r="C63" s="1" t="s">
        <v>5</v>
      </c>
      <c r="D63" s="1" t="s">
        <v>910</v>
      </c>
      <c r="F63" s="1" t="str">
        <f>IFERROR(__xludf.DUMMYFUNCTION("""COMPUTED_VALUE"""),"610633")</f>
        <v>610633</v>
      </c>
      <c r="G63" s="4" t="str">
        <f t="shared" si="1"/>
        <v>06/8/2023</v>
      </c>
      <c r="H63" s="4" t="str">
        <f t="shared" si="2"/>
        <v>7/13/1993</v>
      </c>
      <c r="I63" s="4" t="str">
        <f t="shared" si="3"/>
        <v>Gold</v>
      </c>
      <c r="J63" s="4" t="str">
        <f t="shared" si="4"/>
        <v>Black</v>
      </c>
    </row>
    <row r="64" ht="14.25" customHeight="1">
      <c r="A64" s="1" t="s">
        <v>909</v>
      </c>
      <c r="B64" s="1" t="s">
        <v>310</v>
      </c>
      <c r="C64" s="1" t="s">
        <v>6</v>
      </c>
      <c r="D64" s="1" t="s">
        <v>15</v>
      </c>
      <c r="F64" s="1" t="str">
        <f>IFERROR(__xludf.DUMMYFUNCTION("""COMPUTED_VALUE"""),"339084")</f>
        <v>339084</v>
      </c>
      <c r="G64" s="4" t="str">
        <f t="shared" si="1"/>
        <v>06/27/2023</v>
      </c>
      <c r="H64" s="4" t="str">
        <f t="shared" si="2"/>
        <v>10/6/1963</v>
      </c>
      <c r="I64" s="4" t="str">
        <f t="shared" si="3"/>
        <v>Platinum</v>
      </c>
      <c r="J64" s="4" t="str">
        <f t="shared" si="4"/>
        <v>Asian</v>
      </c>
    </row>
    <row r="65" ht="14.25" customHeight="1">
      <c r="A65" s="1" t="s">
        <v>911</v>
      </c>
      <c r="B65" s="1" t="s">
        <v>200</v>
      </c>
      <c r="C65" s="1" t="s">
        <v>7</v>
      </c>
      <c r="D65" s="1" t="s">
        <v>19</v>
      </c>
      <c r="F65" s="1" t="str">
        <f>IFERROR(__xludf.DUMMYFUNCTION("""COMPUTED_VALUE"""),"397552")</f>
        <v>397552</v>
      </c>
      <c r="G65" s="4" t="str">
        <f t="shared" si="1"/>
        <v>06/11/2023</v>
      </c>
      <c r="H65" s="4" t="str">
        <f t="shared" si="2"/>
        <v>10/31/1941</v>
      </c>
      <c r="I65" s="4" t="str">
        <f t="shared" si="3"/>
        <v>Gold</v>
      </c>
      <c r="J65" s="4" t="str">
        <f t="shared" si="4"/>
        <v>Other</v>
      </c>
    </row>
    <row r="66" ht="14.25" customHeight="1">
      <c r="A66" s="1" t="s">
        <v>911</v>
      </c>
      <c r="B66" s="1" t="s">
        <v>200</v>
      </c>
      <c r="C66" s="1" t="s">
        <v>5</v>
      </c>
      <c r="D66" s="1" t="s">
        <v>912</v>
      </c>
      <c r="F66" s="1" t="str">
        <f>IFERROR(__xludf.DUMMYFUNCTION("""COMPUTED_VALUE"""),"918799")</f>
        <v>918799</v>
      </c>
      <c r="G66" s="4" t="str">
        <f t="shared" si="1"/>
        <v>06/4/2023</v>
      </c>
      <c r="H66" s="4" t="str">
        <f t="shared" si="2"/>
        <v>10/22/2010</v>
      </c>
      <c r="I66" s="4" t="str">
        <f t="shared" si="3"/>
        <v>Gold</v>
      </c>
      <c r="J66" s="4" t="str">
        <f t="shared" si="4"/>
        <v>White</v>
      </c>
    </row>
    <row r="67" ht="14.25" customHeight="1">
      <c r="A67" s="1" t="s">
        <v>911</v>
      </c>
      <c r="B67" s="1" t="s">
        <v>200</v>
      </c>
      <c r="C67" s="1" t="s">
        <v>6</v>
      </c>
      <c r="D67" s="1" t="s">
        <v>21</v>
      </c>
      <c r="F67" s="1" t="str">
        <f>IFERROR(__xludf.DUMMYFUNCTION("""COMPUTED_VALUE"""),"700604")</f>
        <v>700604</v>
      </c>
      <c r="G67" s="4" t="str">
        <f t="shared" si="1"/>
        <v>06/30/2023</v>
      </c>
      <c r="H67" s="4" t="str">
        <f t="shared" si="2"/>
        <v>8/24/1969</v>
      </c>
      <c r="I67" s="4" t="str">
        <f t="shared" si="3"/>
        <v>Gold</v>
      </c>
      <c r="J67" s="4" t="str">
        <f t="shared" si="4"/>
        <v>White</v>
      </c>
    </row>
    <row r="68" ht="14.25" customHeight="1">
      <c r="A68" s="1" t="s">
        <v>913</v>
      </c>
      <c r="B68" s="1" t="s">
        <v>191</v>
      </c>
      <c r="C68" s="1" t="s">
        <v>7</v>
      </c>
      <c r="D68" s="1" t="s">
        <v>25</v>
      </c>
      <c r="F68" s="1" t="str">
        <f>IFERROR(__xludf.DUMMYFUNCTION("""COMPUTED_VALUE"""),"466954")</f>
        <v>466954</v>
      </c>
      <c r="G68" s="4" t="str">
        <f t="shared" si="1"/>
        <v>06/17/2023</v>
      </c>
      <c r="H68" s="4" t="str">
        <f t="shared" si="2"/>
        <v>3/5/1955</v>
      </c>
      <c r="I68" s="4" t="str">
        <f t="shared" si="3"/>
        <v>Basic</v>
      </c>
      <c r="J68" s="4" t="str">
        <f t="shared" si="4"/>
        <v>Black</v>
      </c>
    </row>
    <row r="69" ht="14.25" customHeight="1">
      <c r="A69" s="1" t="s">
        <v>913</v>
      </c>
      <c r="B69" s="1" t="s">
        <v>191</v>
      </c>
      <c r="C69" s="1" t="s">
        <v>5</v>
      </c>
      <c r="D69" s="1" t="s">
        <v>914</v>
      </c>
      <c r="F69" s="1" t="str">
        <f>IFERROR(__xludf.DUMMYFUNCTION("""COMPUTED_VALUE"""),"128016")</f>
        <v>128016</v>
      </c>
      <c r="G69" s="4" t="str">
        <f t="shared" si="1"/>
        <v>06/4/2023</v>
      </c>
      <c r="H69" s="4" t="str">
        <f t="shared" si="2"/>
        <v>10/26/1952</v>
      </c>
      <c r="I69" s="4" t="str">
        <f t="shared" si="3"/>
        <v>Platinum</v>
      </c>
      <c r="J69" s="4" t="str">
        <f t="shared" si="4"/>
        <v>Black</v>
      </c>
    </row>
    <row r="70" ht="14.25" customHeight="1">
      <c r="A70" s="1" t="s">
        <v>913</v>
      </c>
      <c r="B70" s="1" t="s">
        <v>191</v>
      </c>
      <c r="C70" s="1" t="s">
        <v>6</v>
      </c>
      <c r="D70" s="1" t="s">
        <v>21</v>
      </c>
      <c r="F70" s="1" t="str">
        <f>IFERROR(__xludf.DUMMYFUNCTION("""COMPUTED_VALUE"""),"436308")</f>
        <v>436308</v>
      </c>
      <c r="G70" s="4" t="str">
        <f t="shared" si="1"/>
        <v>06/24/2023</v>
      </c>
      <c r="H70" s="4" t="str">
        <f t="shared" si="2"/>
        <v>10/3/1959</v>
      </c>
      <c r="I70" s="4" t="str">
        <f t="shared" si="3"/>
        <v>Basic</v>
      </c>
      <c r="J70" s="4" t="str">
        <f t="shared" si="4"/>
        <v>White</v>
      </c>
    </row>
    <row r="71" ht="14.25" customHeight="1">
      <c r="A71" s="1" t="s">
        <v>915</v>
      </c>
      <c r="B71" s="1" t="s">
        <v>472</v>
      </c>
      <c r="C71" s="1" t="s">
        <v>7</v>
      </c>
      <c r="D71" s="1" t="s">
        <v>25</v>
      </c>
      <c r="F71" s="1" t="str">
        <f>IFERROR(__xludf.DUMMYFUNCTION("""COMPUTED_VALUE"""),"325644")</f>
        <v>325644</v>
      </c>
      <c r="G71" s="4" t="str">
        <f t="shared" si="1"/>
        <v>06/24/2023</v>
      </c>
      <c r="H71" s="4" t="str">
        <f t="shared" si="2"/>
        <v>3/20/1995</v>
      </c>
      <c r="I71" s="4" t="str">
        <f t="shared" si="3"/>
        <v>Basic</v>
      </c>
      <c r="J71" s="4" t="str">
        <f t="shared" si="4"/>
        <v>White</v>
      </c>
    </row>
    <row r="72" ht="14.25" customHeight="1">
      <c r="A72" s="1" t="s">
        <v>915</v>
      </c>
      <c r="B72" s="1" t="s">
        <v>472</v>
      </c>
      <c r="C72" s="1" t="s">
        <v>5</v>
      </c>
      <c r="D72" s="1" t="s">
        <v>916</v>
      </c>
      <c r="F72" s="1" t="str">
        <f>IFERROR(__xludf.DUMMYFUNCTION("""COMPUTED_VALUE"""),"809555")</f>
        <v>809555</v>
      </c>
      <c r="G72" s="4" t="str">
        <f t="shared" si="1"/>
        <v>06/26/2023</v>
      </c>
      <c r="H72" s="4" t="str">
        <f t="shared" si="2"/>
        <v>5/7/1952</v>
      </c>
      <c r="I72" s="4" t="str">
        <f t="shared" si="3"/>
        <v>Basic</v>
      </c>
      <c r="J72" s="4" t="str">
        <f t="shared" si="4"/>
        <v>Other</v>
      </c>
    </row>
    <row r="73" ht="14.25" customHeight="1">
      <c r="A73" s="1" t="s">
        <v>915</v>
      </c>
      <c r="B73" s="1" t="s">
        <v>472</v>
      </c>
      <c r="C73" s="1" t="s">
        <v>6</v>
      </c>
      <c r="D73" s="1" t="s">
        <v>11</v>
      </c>
      <c r="F73" s="1" t="str">
        <f>IFERROR(__xludf.DUMMYFUNCTION("""COMPUTED_VALUE"""),"907496")</f>
        <v>907496</v>
      </c>
      <c r="G73" s="4" t="str">
        <f t="shared" si="1"/>
        <v>06/9/2023</v>
      </c>
      <c r="H73" s="4" t="str">
        <f t="shared" si="2"/>
        <v>12/22/2002</v>
      </c>
      <c r="I73" s="4" t="str">
        <f t="shared" si="3"/>
        <v>Platinum</v>
      </c>
      <c r="J73" s="4" t="str">
        <f t="shared" si="4"/>
        <v>Asian</v>
      </c>
    </row>
    <row r="74" ht="14.25" customHeight="1">
      <c r="A74" s="1" t="s">
        <v>917</v>
      </c>
      <c r="B74" s="1" t="s">
        <v>233</v>
      </c>
      <c r="C74" s="1" t="s">
        <v>7</v>
      </c>
      <c r="D74" s="1" t="s">
        <v>9</v>
      </c>
      <c r="F74" s="1" t="str">
        <f>IFERROR(__xludf.DUMMYFUNCTION("""COMPUTED_VALUE"""),"459563")</f>
        <v>459563</v>
      </c>
      <c r="G74" s="4" t="str">
        <f t="shared" si="1"/>
        <v>06/6/2023</v>
      </c>
      <c r="H74" s="4" t="str">
        <f t="shared" si="2"/>
        <v>3/15/1963</v>
      </c>
      <c r="I74" s="4" t="str">
        <f t="shared" si="3"/>
        <v>Gold</v>
      </c>
      <c r="J74" s="4" t="str">
        <f t="shared" si="4"/>
        <v>Black</v>
      </c>
    </row>
    <row r="75" ht="14.25" customHeight="1">
      <c r="A75" s="1" t="s">
        <v>917</v>
      </c>
      <c r="B75" s="1" t="s">
        <v>233</v>
      </c>
      <c r="C75" s="1" t="s">
        <v>5</v>
      </c>
      <c r="D75" s="1" t="s">
        <v>918</v>
      </c>
      <c r="F75" s="1" t="str">
        <f>IFERROR(__xludf.DUMMYFUNCTION("""COMPUTED_VALUE"""),"302454")</f>
        <v>302454</v>
      </c>
      <c r="G75" s="4" t="str">
        <f t="shared" si="1"/>
        <v>06/19/2023</v>
      </c>
      <c r="H75" s="4" t="str">
        <f t="shared" si="2"/>
        <v>7/25/2018</v>
      </c>
      <c r="I75" s="4" t="str">
        <f t="shared" si="3"/>
        <v>Platinum</v>
      </c>
      <c r="J75" s="4" t="str">
        <f t="shared" si="4"/>
        <v>Asian</v>
      </c>
    </row>
    <row r="76" ht="14.25" customHeight="1">
      <c r="A76" s="1" t="s">
        <v>917</v>
      </c>
      <c r="B76" s="1" t="s">
        <v>233</v>
      </c>
      <c r="C76" s="1" t="s">
        <v>6</v>
      </c>
      <c r="D76" s="1" t="s">
        <v>21</v>
      </c>
      <c r="F76" s="1" t="str">
        <f>IFERROR(__xludf.DUMMYFUNCTION("""COMPUTED_VALUE"""),"791553")</f>
        <v>791553</v>
      </c>
      <c r="G76" s="4" t="str">
        <f t="shared" si="1"/>
        <v>06/28/2023</v>
      </c>
      <c r="H76" s="4" t="str">
        <f t="shared" si="2"/>
        <v>9/24/1982</v>
      </c>
      <c r="I76" s="4" t="str">
        <f t="shared" si="3"/>
        <v>Gold</v>
      </c>
      <c r="J76" s="4" t="str">
        <f t="shared" si="4"/>
        <v>White</v>
      </c>
    </row>
    <row r="77" ht="14.25" customHeight="1">
      <c r="A77" s="1" t="s">
        <v>919</v>
      </c>
      <c r="B77" s="1" t="s">
        <v>182</v>
      </c>
      <c r="C77" s="1" t="s">
        <v>7</v>
      </c>
      <c r="D77" s="1" t="s">
        <v>25</v>
      </c>
      <c r="F77" s="1" t="str">
        <f>IFERROR(__xludf.DUMMYFUNCTION("""COMPUTED_VALUE"""),"785906")</f>
        <v>785906</v>
      </c>
      <c r="G77" s="4" t="str">
        <f t="shared" si="1"/>
        <v>06/22/2023</v>
      </c>
      <c r="H77" s="4" t="str">
        <f t="shared" si="2"/>
        <v>6/20/1967</v>
      </c>
      <c r="I77" s="4" t="str">
        <f t="shared" si="3"/>
        <v>Basic</v>
      </c>
      <c r="J77" s="4" t="str">
        <f t="shared" si="4"/>
        <v>Asian</v>
      </c>
    </row>
    <row r="78" ht="14.25" customHeight="1">
      <c r="A78" s="1" t="s">
        <v>919</v>
      </c>
      <c r="B78" s="1" t="s">
        <v>182</v>
      </c>
      <c r="C78" s="1" t="s">
        <v>5</v>
      </c>
      <c r="D78" s="1" t="s">
        <v>920</v>
      </c>
      <c r="F78" s="1" t="str">
        <f>IFERROR(__xludf.DUMMYFUNCTION("""COMPUTED_VALUE"""),"717206")</f>
        <v>717206</v>
      </c>
      <c r="G78" s="4" t="str">
        <f t="shared" si="1"/>
        <v>06/21/2023</v>
      </c>
      <c r="H78" s="4" t="str">
        <f t="shared" si="2"/>
        <v>6/19/1963</v>
      </c>
      <c r="I78" s="4" t="str">
        <f t="shared" si="3"/>
        <v>Platinum</v>
      </c>
      <c r="J78" s="4" t="str">
        <f t="shared" si="4"/>
        <v>Black</v>
      </c>
    </row>
    <row r="79" ht="14.25" customHeight="1">
      <c r="A79" s="1" t="s">
        <v>919</v>
      </c>
      <c r="B79" s="1" t="s">
        <v>182</v>
      </c>
      <c r="C79" s="1" t="s">
        <v>6</v>
      </c>
      <c r="D79" s="1" t="s">
        <v>15</v>
      </c>
      <c r="F79" s="1" t="str">
        <f>IFERROR(__xludf.DUMMYFUNCTION("""COMPUTED_VALUE"""),"993112")</f>
        <v>993112</v>
      </c>
      <c r="G79" s="4" t="str">
        <f t="shared" si="1"/>
        <v>06/30/2023</v>
      </c>
      <c r="H79" s="4" t="str">
        <f t="shared" si="2"/>
        <v>10/2/1942</v>
      </c>
      <c r="I79" s="4" t="str">
        <f t="shared" si="3"/>
        <v>Platinum</v>
      </c>
      <c r="J79" s="4" t="str">
        <f t="shared" si="4"/>
        <v>Asian</v>
      </c>
    </row>
    <row r="80" ht="14.25" customHeight="1">
      <c r="A80" s="1" t="s">
        <v>921</v>
      </c>
      <c r="B80" s="1" t="s">
        <v>191</v>
      </c>
      <c r="C80" s="1" t="s">
        <v>7</v>
      </c>
      <c r="D80" s="1" t="s">
        <v>13</v>
      </c>
      <c r="F80" s="1" t="str">
        <f>IFERROR(__xludf.DUMMYFUNCTION("""COMPUTED_VALUE"""),"369873")</f>
        <v>369873</v>
      </c>
      <c r="G80" s="4" t="str">
        <f t="shared" si="1"/>
        <v>06/10/2023</v>
      </c>
      <c r="H80" s="4" t="str">
        <f t="shared" si="2"/>
        <v>9/8/1972</v>
      </c>
      <c r="I80" s="4" t="str">
        <f t="shared" si="3"/>
        <v>Gold</v>
      </c>
      <c r="J80" s="4" t="str">
        <f t="shared" si="4"/>
        <v>Black</v>
      </c>
    </row>
    <row r="81" ht="14.25" customHeight="1">
      <c r="A81" s="1" t="s">
        <v>921</v>
      </c>
      <c r="B81" s="1" t="s">
        <v>191</v>
      </c>
      <c r="C81" s="1" t="s">
        <v>5</v>
      </c>
      <c r="D81" s="1" t="s">
        <v>922</v>
      </c>
      <c r="F81" s="1" t="str">
        <f>IFERROR(__xludf.DUMMYFUNCTION("""COMPUTED_VALUE"""),"637797")</f>
        <v>637797</v>
      </c>
      <c r="G81" s="4" t="str">
        <f t="shared" si="1"/>
        <v>06/1/2023</v>
      </c>
      <c r="H81" s="4" t="str">
        <f t="shared" si="2"/>
        <v>9/11/1956</v>
      </c>
      <c r="I81" s="4" t="str">
        <f t="shared" si="3"/>
        <v>Platinum</v>
      </c>
      <c r="J81" s="4" t="str">
        <f t="shared" si="4"/>
        <v>Asian</v>
      </c>
    </row>
    <row r="82" ht="14.25" customHeight="1">
      <c r="A82" s="1" t="s">
        <v>921</v>
      </c>
      <c r="B82" s="1" t="s">
        <v>191</v>
      </c>
      <c r="C82" s="1" t="s">
        <v>6</v>
      </c>
      <c r="D82" s="1" t="s">
        <v>11</v>
      </c>
      <c r="F82" s="1" t="str">
        <f>IFERROR(__xludf.DUMMYFUNCTION("""COMPUTED_VALUE"""),"304982")</f>
        <v>304982</v>
      </c>
      <c r="G82" s="4" t="str">
        <f t="shared" si="1"/>
        <v>06/25/2023</v>
      </c>
      <c r="H82" s="4" t="str">
        <f t="shared" si="2"/>
        <v>4/8/1979</v>
      </c>
      <c r="I82" s="4" t="str">
        <f t="shared" si="3"/>
        <v>Platinum</v>
      </c>
      <c r="J82" s="4" t="str">
        <f t="shared" si="4"/>
        <v>Other</v>
      </c>
    </row>
    <row r="83" ht="14.25" customHeight="1">
      <c r="A83" s="1" t="s">
        <v>923</v>
      </c>
      <c r="B83" s="1" t="s">
        <v>398</v>
      </c>
      <c r="C83" s="1" t="s">
        <v>7</v>
      </c>
      <c r="D83" s="1" t="s">
        <v>9</v>
      </c>
      <c r="F83" s="1" t="str">
        <f>IFERROR(__xludf.DUMMYFUNCTION("""COMPUTED_VALUE"""),"338686")</f>
        <v>338686</v>
      </c>
      <c r="G83" s="4" t="str">
        <f t="shared" si="1"/>
        <v>06/25/2023</v>
      </c>
      <c r="H83" s="4" t="str">
        <f t="shared" si="2"/>
        <v>12/17/1979</v>
      </c>
      <c r="I83" s="4" t="str">
        <f t="shared" si="3"/>
        <v>Gold</v>
      </c>
      <c r="J83" s="4" t="str">
        <f t="shared" si="4"/>
        <v>White</v>
      </c>
    </row>
    <row r="84" ht="14.25" customHeight="1">
      <c r="A84" s="1" t="s">
        <v>923</v>
      </c>
      <c r="B84" s="1" t="s">
        <v>398</v>
      </c>
      <c r="C84" s="1" t="s">
        <v>5</v>
      </c>
      <c r="D84" s="1" t="s">
        <v>924</v>
      </c>
      <c r="F84" s="1" t="str">
        <f>IFERROR(__xludf.DUMMYFUNCTION("""COMPUTED_VALUE"""),"768053")</f>
        <v>768053</v>
      </c>
      <c r="G84" s="4" t="str">
        <f t="shared" si="1"/>
        <v>06/14/2023</v>
      </c>
      <c r="H84" s="4" t="str">
        <f t="shared" si="2"/>
        <v>1/17/1998</v>
      </c>
      <c r="I84" s="4" t="str">
        <f t="shared" si="3"/>
        <v>Gold</v>
      </c>
      <c r="J84" s="4" t="str">
        <f t="shared" si="4"/>
        <v>White</v>
      </c>
    </row>
    <row r="85" ht="14.25" customHeight="1">
      <c r="A85" s="1" t="s">
        <v>923</v>
      </c>
      <c r="B85" s="1" t="s">
        <v>398</v>
      </c>
      <c r="C85" s="1" t="s">
        <v>6</v>
      </c>
      <c r="D85" s="1" t="s">
        <v>11</v>
      </c>
      <c r="F85" s="1" t="str">
        <f>IFERROR(__xludf.DUMMYFUNCTION("""COMPUTED_VALUE"""),"349244")</f>
        <v>349244</v>
      </c>
      <c r="G85" s="4" t="str">
        <f t="shared" si="1"/>
        <v>06/3/2023</v>
      </c>
      <c r="H85" s="4" t="str">
        <f t="shared" si="2"/>
        <v>1/18/2007</v>
      </c>
      <c r="I85" s="4" t="str">
        <f t="shared" si="3"/>
        <v>Basic</v>
      </c>
      <c r="J85" s="4" t="str">
        <f t="shared" si="4"/>
        <v>Asian</v>
      </c>
    </row>
    <row r="86" ht="14.25" customHeight="1">
      <c r="A86" s="1" t="s">
        <v>925</v>
      </c>
      <c r="B86" s="1" t="s">
        <v>310</v>
      </c>
      <c r="C86" s="1" t="s">
        <v>7</v>
      </c>
      <c r="D86" s="1" t="s">
        <v>13</v>
      </c>
      <c r="F86" s="1" t="str">
        <f>IFERROR(__xludf.DUMMYFUNCTION("""COMPUTED_VALUE"""),"628497")</f>
        <v>628497</v>
      </c>
      <c r="G86" s="4" t="str">
        <f t="shared" si="1"/>
        <v>06/21/2023</v>
      </c>
      <c r="H86" s="4" t="str">
        <f t="shared" si="2"/>
        <v>10/26/2005</v>
      </c>
      <c r="I86" s="4" t="str">
        <f t="shared" si="3"/>
        <v>Platinum</v>
      </c>
      <c r="J86" s="4" t="str">
        <f t="shared" si="4"/>
        <v>Asian</v>
      </c>
    </row>
    <row r="87" ht="14.25" customHeight="1">
      <c r="A87" s="1" t="s">
        <v>925</v>
      </c>
      <c r="B87" s="1" t="s">
        <v>310</v>
      </c>
      <c r="C87" s="1" t="s">
        <v>5</v>
      </c>
      <c r="D87" s="1" t="s">
        <v>731</v>
      </c>
      <c r="F87" s="1" t="str">
        <f>IFERROR(__xludf.DUMMYFUNCTION("""COMPUTED_VALUE"""),"560440")</f>
        <v>560440</v>
      </c>
      <c r="G87" s="4" t="str">
        <f t="shared" si="1"/>
        <v>06/24/2023</v>
      </c>
      <c r="H87" s="4" t="str">
        <f t="shared" si="2"/>
        <v>5/30/1979</v>
      </c>
      <c r="I87" s="4" t="str">
        <f t="shared" si="3"/>
        <v>Basic</v>
      </c>
      <c r="J87" s="4" t="str">
        <f t="shared" si="4"/>
        <v>Asian</v>
      </c>
    </row>
    <row r="88" ht="14.25" customHeight="1">
      <c r="A88" s="1" t="s">
        <v>925</v>
      </c>
      <c r="B88" s="1" t="s">
        <v>310</v>
      </c>
      <c r="C88" s="1" t="s">
        <v>6</v>
      </c>
      <c r="D88" s="1" t="s">
        <v>15</v>
      </c>
      <c r="F88" s="1" t="str">
        <f>IFERROR(__xludf.DUMMYFUNCTION("""COMPUTED_VALUE"""),"881325")</f>
        <v>881325</v>
      </c>
      <c r="G88" s="4" t="str">
        <f t="shared" si="1"/>
        <v>06/21/2023</v>
      </c>
      <c r="H88" s="4" t="str">
        <f t="shared" si="2"/>
        <v>7/11/1981</v>
      </c>
      <c r="I88" s="4" t="str">
        <f t="shared" si="3"/>
        <v>Basic</v>
      </c>
      <c r="J88" s="4" t="str">
        <f t="shared" si="4"/>
        <v>Other</v>
      </c>
    </row>
    <row r="89" ht="14.25" customHeight="1">
      <c r="A89" s="1" t="s">
        <v>926</v>
      </c>
      <c r="B89" s="1" t="s">
        <v>317</v>
      </c>
      <c r="C89" s="1" t="s">
        <v>7</v>
      </c>
      <c r="D89" s="1" t="s">
        <v>25</v>
      </c>
      <c r="F89" s="1" t="str">
        <f>IFERROR(__xludf.DUMMYFUNCTION("""COMPUTED_VALUE"""),"311336")</f>
        <v>311336</v>
      </c>
      <c r="G89" s="4" t="str">
        <f t="shared" si="1"/>
        <v>06/22/2023</v>
      </c>
      <c r="H89" s="4" t="str">
        <f t="shared" si="2"/>
        <v>11/12/2018</v>
      </c>
      <c r="I89" s="4" t="str">
        <f t="shared" si="3"/>
        <v>Platinum</v>
      </c>
      <c r="J89" s="4" t="str">
        <f t="shared" si="4"/>
        <v>Black</v>
      </c>
    </row>
    <row r="90" ht="14.25" customHeight="1">
      <c r="A90" s="1" t="s">
        <v>926</v>
      </c>
      <c r="B90" s="1" t="s">
        <v>317</v>
      </c>
      <c r="C90" s="1" t="s">
        <v>5</v>
      </c>
      <c r="D90" s="1" t="s">
        <v>927</v>
      </c>
      <c r="F90" s="1"/>
    </row>
    <row r="91" ht="14.25" customHeight="1">
      <c r="A91" s="1" t="s">
        <v>926</v>
      </c>
      <c r="B91" s="1" t="s">
        <v>317</v>
      </c>
      <c r="C91" s="1" t="s">
        <v>6</v>
      </c>
      <c r="D91" s="1" t="s">
        <v>21</v>
      </c>
    </row>
    <row r="92" ht="14.25" customHeight="1">
      <c r="A92" s="1" t="s">
        <v>928</v>
      </c>
      <c r="B92" s="1" t="s">
        <v>188</v>
      </c>
      <c r="C92" s="1" t="s">
        <v>7</v>
      </c>
      <c r="D92" s="1" t="s">
        <v>9</v>
      </c>
    </row>
    <row r="93" ht="14.25" customHeight="1">
      <c r="A93" s="1" t="s">
        <v>928</v>
      </c>
      <c r="B93" s="1" t="s">
        <v>188</v>
      </c>
      <c r="C93" s="1" t="s">
        <v>5</v>
      </c>
      <c r="D93" s="1" t="s">
        <v>929</v>
      </c>
    </row>
    <row r="94" ht="14.25" customHeight="1">
      <c r="A94" s="1" t="s">
        <v>928</v>
      </c>
      <c r="B94" s="1" t="s">
        <v>188</v>
      </c>
      <c r="C94" s="1" t="s">
        <v>6</v>
      </c>
      <c r="D94" s="1" t="s">
        <v>21</v>
      </c>
    </row>
    <row r="95" ht="14.25" customHeight="1">
      <c r="A95" s="1" t="s">
        <v>930</v>
      </c>
      <c r="B95" s="1" t="s">
        <v>211</v>
      </c>
      <c r="C95" s="1" t="s">
        <v>7</v>
      </c>
      <c r="D95" s="1" t="s">
        <v>13</v>
      </c>
    </row>
    <row r="96" ht="14.25" customHeight="1">
      <c r="A96" s="1" t="s">
        <v>930</v>
      </c>
      <c r="B96" s="1" t="s">
        <v>211</v>
      </c>
      <c r="C96" s="1" t="s">
        <v>5</v>
      </c>
      <c r="D96" s="1" t="s">
        <v>931</v>
      </c>
    </row>
    <row r="97" ht="14.25" customHeight="1">
      <c r="A97" s="1" t="s">
        <v>930</v>
      </c>
      <c r="B97" s="1" t="s">
        <v>211</v>
      </c>
      <c r="C97" s="1" t="s">
        <v>6</v>
      </c>
      <c r="D97" s="1" t="s">
        <v>11</v>
      </c>
    </row>
    <row r="98" ht="14.25" customHeight="1">
      <c r="A98" s="1" t="s">
        <v>932</v>
      </c>
      <c r="B98" s="1" t="s">
        <v>197</v>
      </c>
      <c r="C98" s="1" t="s">
        <v>7</v>
      </c>
      <c r="D98" s="1" t="s">
        <v>25</v>
      </c>
    </row>
    <row r="99" ht="14.25" customHeight="1">
      <c r="A99" s="1" t="s">
        <v>932</v>
      </c>
      <c r="B99" s="1" t="s">
        <v>197</v>
      </c>
      <c r="C99" s="1" t="s">
        <v>5</v>
      </c>
      <c r="D99" s="1" t="s">
        <v>933</v>
      </c>
    </row>
    <row r="100" ht="14.25" customHeight="1">
      <c r="A100" s="1" t="s">
        <v>932</v>
      </c>
      <c r="B100" s="1" t="s">
        <v>197</v>
      </c>
      <c r="C100" s="1" t="s">
        <v>6</v>
      </c>
      <c r="D100" s="1" t="s">
        <v>15</v>
      </c>
    </row>
    <row r="101" ht="14.25" customHeight="1">
      <c r="A101" s="1" t="s">
        <v>934</v>
      </c>
      <c r="B101" s="1" t="s">
        <v>317</v>
      </c>
      <c r="C101" s="1" t="s">
        <v>7</v>
      </c>
      <c r="D101" s="1" t="s">
        <v>19</v>
      </c>
    </row>
    <row r="102" ht="14.25" customHeight="1">
      <c r="A102" s="1" t="s">
        <v>934</v>
      </c>
      <c r="B102" s="1" t="s">
        <v>317</v>
      </c>
      <c r="C102" s="1" t="s">
        <v>5</v>
      </c>
      <c r="D102" s="1" t="s">
        <v>935</v>
      </c>
    </row>
    <row r="103" ht="14.25" customHeight="1">
      <c r="A103" s="1" t="s">
        <v>934</v>
      </c>
      <c r="B103" s="1" t="s">
        <v>317</v>
      </c>
      <c r="C103" s="1" t="s">
        <v>6</v>
      </c>
      <c r="D103" s="1" t="s">
        <v>21</v>
      </c>
    </row>
    <row r="104" ht="14.25" customHeight="1">
      <c r="A104" s="1" t="s">
        <v>936</v>
      </c>
      <c r="B104" s="1" t="s">
        <v>273</v>
      </c>
      <c r="C104" s="1" t="s">
        <v>7</v>
      </c>
      <c r="D104" s="1" t="s">
        <v>19</v>
      </c>
    </row>
    <row r="105" ht="14.25" customHeight="1">
      <c r="A105" s="1" t="s">
        <v>936</v>
      </c>
      <c r="B105" s="1" t="s">
        <v>273</v>
      </c>
      <c r="C105" s="1" t="s">
        <v>5</v>
      </c>
      <c r="D105" s="1" t="s">
        <v>937</v>
      </c>
    </row>
    <row r="106" ht="14.25" customHeight="1">
      <c r="A106" s="1" t="s">
        <v>936</v>
      </c>
      <c r="B106" s="1" t="s">
        <v>273</v>
      </c>
      <c r="C106" s="1" t="s">
        <v>6</v>
      </c>
      <c r="D106" s="1" t="s">
        <v>15</v>
      </c>
    </row>
    <row r="107" ht="14.25" customHeight="1">
      <c r="A107" s="1" t="s">
        <v>938</v>
      </c>
      <c r="B107" s="1" t="s">
        <v>203</v>
      </c>
      <c r="C107" s="1" t="s">
        <v>7</v>
      </c>
      <c r="D107" s="1" t="s">
        <v>13</v>
      </c>
    </row>
    <row r="108" ht="14.25" customHeight="1">
      <c r="A108" s="1" t="s">
        <v>938</v>
      </c>
      <c r="B108" s="1" t="s">
        <v>203</v>
      </c>
      <c r="C108" s="1" t="s">
        <v>5</v>
      </c>
      <c r="D108" s="1" t="s">
        <v>939</v>
      </c>
    </row>
    <row r="109" ht="14.25" customHeight="1">
      <c r="A109" s="1" t="s">
        <v>938</v>
      </c>
      <c r="B109" s="1" t="s">
        <v>203</v>
      </c>
      <c r="C109" s="1" t="s">
        <v>6</v>
      </c>
      <c r="D109" s="1" t="s">
        <v>21</v>
      </c>
    </row>
    <row r="110" ht="14.25" customHeight="1">
      <c r="A110" s="1" t="s">
        <v>940</v>
      </c>
      <c r="B110" s="1" t="s">
        <v>381</v>
      </c>
      <c r="C110" s="1" t="s">
        <v>7</v>
      </c>
      <c r="D110" s="1" t="s">
        <v>25</v>
      </c>
    </row>
    <row r="111" ht="14.25" customHeight="1">
      <c r="A111" s="1" t="s">
        <v>940</v>
      </c>
      <c r="B111" s="1" t="s">
        <v>381</v>
      </c>
      <c r="C111" s="1" t="s">
        <v>5</v>
      </c>
      <c r="D111" s="1" t="s">
        <v>941</v>
      </c>
    </row>
    <row r="112" ht="14.25" customHeight="1">
      <c r="A112" s="1" t="s">
        <v>940</v>
      </c>
      <c r="B112" s="1" t="s">
        <v>381</v>
      </c>
      <c r="C112" s="1" t="s">
        <v>6</v>
      </c>
      <c r="D112" s="1" t="s">
        <v>11</v>
      </c>
    </row>
    <row r="113" ht="14.25" customHeight="1">
      <c r="A113" s="1" t="s">
        <v>942</v>
      </c>
      <c r="B113" s="1" t="s">
        <v>246</v>
      </c>
      <c r="C113" s="1" t="s">
        <v>7</v>
      </c>
      <c r="D113" s="1" t="s">
        <v>9</v>
      </c>
    </row>
    <row r="114" ht="14.25" customHeight="1">
      <c r="A114" s="1" t="s">
        <v>942</v>
      </c>
      <c r="B114" s="1" t="s">
        <v>246</v>
      </c>
      <c r="C114" s="1" t="s">
        <v>5</v>
      </c>
      <c r="D114" s="1" t="s">
        <v>943</v>
      </c>
    </row>
    <row r="115" ht="14.25" customHeight="1">
      <c r="A115" s="1" t="s">
        <v>942</v>
      </c>
      <c r="B115" s="1" t="s">
        <v>246</v>
      </c>
      <c r="C115" s="1" t="s">
        <v>6</v>
      </c>
      <c r="D115" s="1" t="s">
        <v>21</v>
      </c>
    </row>
    <row r="116" ht="14.25" customHeight="1">
      <c r="A116" s="1" t="s">
        <v>944</v>
      </c>
      <c r="B116" s="1" t="s">
        <v>249</v>
      </c>
      <c r="C116" s="1" t="s">
        <v>7</v>
      </c>
      <c r="D116" s="1" t="s">
        <v>19</v>
      </c>
    </row>
    <row r="117" ht="14.25" customHeight="1">
      <c r="A117" s="1" t="s">
        <v>944</v>
      </c>
      <c r="B117" s="1" t="s">
        <v>249</v>
      </c>
      <c r="C117" s="1" t="s">
        <v>5</v>
      </c>
      <c r="D117" s="1" t="s">
        <v>945</v>
      </c>
    </row>
    <row r="118" ht="14.25" customHeight="1">
      <c r="A118" s="1" t="s">
        <v>944</v>
      </c>
      <c r="B118" s="1" t="s">
        <v>249</v>
      </c>
      <c r="C118" s="1" t="s">
        <v>6</v>
      </c>
      <c r="D118" s="1" t="s">
        <v>21</v>
      </c>
    </row>
    <row r="119" ht="14.25" customHeight="1">
      <c r="A119" s="1" t="s">
        <v>946</v>
      </c>
      <c r="B119" s="1" t="s">
        <v>264</v>
      </c>
      <c r="C119" s="1" t="s">
        <v>7</v>
      </c>
      <c r="D119" s="1" t="s">
        <v>9</v>
      </c>
    </row>
    <row r="120" ht="14.25" customHeight="1">
      <c r="A120" s="1" t="s">
        <v>946</v>
      </c>
      <c r="B120" s="1" t="s">
        <v>264</v>
      </c>
      <c r="C120" s="1" t="s">
        <v>5</v>
      </c>
      <c r="D120" s="1" t="s">
        <v>947</v>
      </c>
    </row>
    <row r="121" ht="14.25" customHeight="1">
      <c r="A121" s="1" t="s">
        <v>946</v>
      </c>
      <c r="B121" s="1" t="s">
        <v>264</v>
      </c>
      <c r="C121" s="1" t="s">
        <v>6</v>
      </c>
      <c r="D121" s="1" t="s">
        <v>15</v>
      </c>
    </row>
    <row r="122" ht="14.25" customHeight="1">
      <c r="A122" s="1" t="s">
        <v>948</v>
      </c>
      <c r="B122" s="1" t="s">
        <v>249</v>
      </c>
      <c r="C122" s="1" t="s">
        <v>7</v>
      </c>
      <c r="D122" s="1" t="s">
        <v>9</v>
      </c>
    </row>
    <row r="123" ht="14.25" customHeight="1">
      <c r="A123" s="1" t="s">
        <v>948</v>
      </c>
      <c r="B123" s="1" t="s">
        <v>249</v>
      </c>
      <c r="C123" s="1" t="s">
        <v>5</v>
      </c>
      <c r="D123" s="1" t="s">
        <v>949</v>
      </c>
    </row>
    <row r="124" ht="14.25" customHeight="1">
      <c r="A124" s="1" t="s">
        <v>948</v>
      </c>
      <c r="B124" s="1" t="s">
        <v>249</v>
      </c>
      <c r="C124" s="1" t="s">
        <v>6</v>
      </c>
      <c r="D124" s="1" t="s">
        <v>21</v>
      </c>
    </row>
    <row r="125" ht="14.25" customHeight="1">
      <c r="A125" s="1" t="s">
        <v>950</v>
      </c>
      <c r="B125" s="1" t="s">
        <v>208</v>
      </c>
      <c r="C125" s="1" t="s">
        <v>7</v>
      </c>
      <c r="D125" s="1" t="s">
        <v>9</v>
      </c>
    </row>
    <row r="126" ht="14.25" customHeight="1">
      <c r="A126" s="1" t="s">
        <v>950</v>
      </c>
      <c r="B126" s="1" t="s">
        <v>208</v>
      </c>
      <c r="C126" s="1" t="s">
        <v>5</v>
      </c>
      <c r="D126" s="1" t="s">
        <v>951</v>
      </c>
    </row>
    <row r="127" ht="14.25" customHeight="1">
      <c r="A127" s="1" t="s">
        <v>950</v>
      </c>
      <c r="B127" s="1" t="s">
        <v>208</v>
      </c>
      <c r="C127" s="1" t="s">
        <v>6</v>
      </c>
      <c r="D127" s="1" t="s">
        <v>15</v>
      </c>
    </row>
    <row r="128" ht="14.25" customHeight="1">
      <c r="A128" s="1" t="s">
        <v>952</v>
      </c>
      <c r="B128" s="1" t="s">
        <v>230</v>
      </c>
      <c r="C128" s="1" t="s">
        <v>7</v>
      </c>
      <c r="D128" s="1" t="s">
        <v>25</v>
      </c>
    </row>
    <row r="129" ht="14.25" customHeight="1">
      <c r="A129" s="1" t="s">
        <v>952</v>
      </c>
      <c r="B129" s="1" t="s">
        <v>230</v>
      </c>
      <c r="C129" s="1" t="s">
        <v>5</v>
      </c>
      <c r="D129" s="1" t="s">
        <v>953</v>
      </c>
    </row>
    <row r="130" ht="14.25" customHeight="1">
      <c r="A130" s="1" t="s">
        <v>952</v>
      </c>
      <c r="B130" s="1" t="s">
        <v>230</v>
      </c>
      <c r="C130" s="1" t="s">
        <v>6</v>
      </c>
      <c r="D130" s="1" t="s">
        <v>21</v>
      </c>
    </row>
    <row r="131" ht="14.25" customHeight="1">
      <c r="A131" s="1" t="s">
        <v>954</v>
      </c>
      <c r="B131" s="1" t="s">
        <v>317</v>
      </c>
      <c r="C131" s="1" t="s">
        <v>7</v>
      </c>
      <c r="D131" s="1" t="s">
        <v>9</v>
      </c>
    </row>
    <row r="132" ht="14.25" customHeight="1">
      <c r="A132" s="1" t="s">
        <v>954</v>
      </c>
      <c r="B132" s="1" t="s">
        <v>317</v>
      </c>
      <c r="C132" s="1" t="s">
        <v>5</v>
      </c>
      <c r="D132" s="1" t="s">
        <v>955</v>
      </c>
    </row>
    <row r="133" ht="14.25" customHeight="1">
      <c r="A133" s="1" t="s">
        <v>954</v>
      </c>
      <c r="B133" s="1" t="s">
        <v>317</v>
      </c>
      <c r="C133" s="1" t="s">
        <v>6</v>
      </c>
      <c r="D133" s="1" t="s">
        <v>21</v>
      </c>
    </row>
    <row r="134" ht="14.25" customHeight="1">
      <c r="A134" s="1" t="s">
        <v>956</v>
      </c>
      <c r="B134" s="1" t="s">
        <v>378</v>
      </c>
      <c r="C134" s="1" t="s">
        <v>7</v>
      </c>
      <c r="D134" s="1" t="s">
        <v>13</v>
      </c>
    </row>
    <row r="135" ht="14.25" customHeight="1">
      <c r="A135" s="1" t="s">
        <v>956</v>
      </c>
      <c r="B135" s="1" t="s">
        <v>378</v>
      </c>
      <c r="C135" s="1" t="s">
        <v>5</v>
      </c>
      <c r="D135" s="1" t="s">
        <v>957</v>
      </c>
    </row>
    <row r="136" ht="14.25" customHeight="1">
      <c r="A136" s="1" t="s">
        <v>956</v>
      </c>
      <c r="B136" s="1" t="s">
        <v>378</v>
      </c>
      <c r="C136" s="1" t="s">
        <v>6</v>
      </c>
      <c r="D136" s="1" t="s">
        <v>11</v>
      </c>
    </row>
    <row r="137" ht="14.25" customHeight="1">
      <c r="A137" s="1" t="s">
        <v>958</v>
      </c>
      <c r="B137" s="1" t="s">
        <v>197</v>
      </c>
      <c r="C137" s="1" t="s">
        <v>7</v>
      </c>
      <c r="D137" s="1" t="s">
        <v>9</v>
      </c>
    </row>
    <row r="138" ht="14.25" customHeight="1">
      <c r="A138" s="1" t="s">
        <v>958</v>
      </c>
      <c r="B138" s="1" t="s">
        <v>197</v>
      </c>
      <c r="C138" s="1" t="s">
        <v>5</v>
      </c>
      <c r="D138" s="1" t="s">
        <v>959</v>
      </c>
    </row>
    <row r="139" ht="14.25" customHeight="1">
      <c r="A139" s="1" t="s">
        <v>958</v>
      </c>
      <c r="B139" s="1" t="s">
        <v>197</v>
      </c>
      <c r="C139" s="1" t="s">
        <v>6</v>
      </c>
      <c r="D139" s="1" t="s">
        <v>21</v>
      </c>
    </row>
    <row r="140" ht="14.25" customHeight="1">
      <c r="A140" s="1" t="s">
        <v>960</v>
      </c>
      <c r="B140" s="1" t="s">
        <v>236</v>
      </c>
      <c r="C140" s="1" t="s">
        <v>7</v>
      </c>
      <c r="D140" s="1" t="s">
        <v>19</v>
      </c>
    </row>
    <row r="141" ht="14.25" customHeight="1">
      <c r="A141" s="1" t="s">
        <v>960</v>
      </c>
      <c r="B141" s="1" t="s">
        <v>236</v>
      </c>
      <c r="C141" s="1" t="s">
        <v>5</v>
      </c>
      <c r="D141" s="1" t="s">
        <v>961</v>
      </c>
    </row>
    <row r="142" ht="14.25" customHeight="1">
      <c r="A142" s="1" t="s">
        <v>960</v>
      </c>
      <c r="B142" s="1" t="s">
        <v>236</v>
      </c>
      <c r="C142" s="1" t="s">
        <v>6</v>
      </c>
      <c r="D142" s="1" t="s">
        <v>21</v>
      </c>
    </row>
    <row r="143" ht="14.25" customHeight="1">
      <c r="A143" s="1" t="s">
        <v>962</v>
      </c>
      <c r="B143" s="1" t="s">
        <v>264</v>
      </c>
      <c r="C143" s="1" t="s">
        <v>7</v>
      </c>
      <c r="D143" s="1" t="s">
        <v>19</v>
      </c>
    </row>
    <row r="144" ht="14.25" customHeight="1">
      <c r="A144" s="1" t="s">
        <v>962</v>
      </c>
      <c r="B144" s="1" t="s">
        <v>264</v>
      </c>
      <c r="C144" s="1" t="s">
        <v>5</v>
      </c>
      <c r="D144" s="1" t="s">
        <v>963</v>
      </c>
    </row>
    <row r="145" ht="14.25" customHeight="1">
      <c r="A145" s="1" t="s">
        <v>962</v>
      </c>
      <c r="B145" s="1" t="s">
        <v>264</v>
      </c>
      <c r="C145" s="1" t="s">
        <v>6</v>
      </c>
      <c r="D145" s="1" t="s">
        <v>21</v>
      </c>
    </row>
    <row r="146" ht="14.25" customHeight="1">
      <c r="A146" s="1" t="s">
        <v>964</v>
      </c>
      <c r="B146" s="1" t="s">
        <v>200</v>
      </c>
      <c r="C146" s="1" t="s">
        <v>7</v>
      </c>
      <c r="D146" s="1" t="s">
        <v>25</v>
      </c>
    </row>
    <row r="147" ht="14.25" customHeight="1">
      <c r="A147" s="1" t="s">
        <v>964</v>
      </c>
      <c r="B147" s="1" t="s">
        <v>200</v>
      </c>
      <c r="C147" s="1" t="s">
        <v>5</v>
      </c>
      <c r="D147" s="1" t="s">
        <v>965</v>
      </c>
    </row>
    <row r="148" ht="14.25" customHeight="1">
      <c r="A148" s="1" t="s">
        <v>964</v>
      </c>
      <c r="B148" s="1" t="s">
        <v>200</v>
      </c>
      <c r="C148" s="1" t="s">
        <v>6</v>
      </c>
      <c r="D148" s="1" t="s">
        <v>15</v>
      </c>
    </row>
    <row r="149" ht="14.25" customHeight="1">
      <c r="A149" s="1" t="s">
        <v>966</v>
      </c>
      <c r="B149" s="1" t="s">
        <v>185</v>
      </c>
      <c r="C149" s="1" t="s">
        <v>7</v>
      </c>
      <c r="D149" s="1" t="s">
        <v>19</v>
      </c>
    </row>
    <row r="150" ht="14.25" customHeight="1">
      <c r="A150" s="1" t="s">
        <v>966</v>
      </c>
      <c r="B150" s="1" t="s">
        <v>185</v>
      </c>
      <c r="C150" s="1" t="s">
        <v>5</v>
      </c>
      <c r="D150" s="1" t="s">
        <v>967</v>
      </c>
    </row>
    <row r="151" ht="14.25" customHeight="1">
      <c r="A151" s="1" t="s">
        <v>966</v>
      </c>
      <c r="B151" s="1" t="s">
        <v>185</v>
      </c>
      <c r="C151" s="1" t="s">
        <v>6</v>
      </c>
      <c r="D151" s="1" t="s">
        <v>21</v>
      </c>
    </row>
    <row r="152" ht="14.25" customHeight="1">
      <c r="A152" s="1" t="s">
        <v>968</v>
      </c>
      <c r="B152" s="1" t="s">
        <v>208</v>
      </c>
      <c r="C152" s="1" t="s">
        <v>7</v>
      </c>
      <c r="D152" s="1" t="s">
        <v>19</v>
      </c>
    </row>
    <row r="153" ht="14.25" customHeight="1">
      <c r="A153" s="1" t="s">
        <v>968</v>
      </c>
      <c r="B153" s="1" t="s">
        <v>208</v>
      </c>
      <c r="C153" s="1" t="s">
        <v>5</v>
      </c>
      <c r="D153" s="1" t="s">
        <v>969</v>
      </c>
    </row>
    <row r="154" ht="14.25" customHeight="1">
      <c r="A154" s="1" t="s">
        <v>968</v>
      </c>
      <c r="B154" s="1" t="s">
        <v>208</v>
      </c>
      <c r="C154" s="1" t="s">
        <v>6</v>
      </c>
      <c r="D154" s="1" t="s">
        <v>21</v>
      </c>
    </row>
    <row r="155" ht="14.25" customHeight="1">
      <c r="A155" s="1" t="s">
        <v>970</v>
      </c>
      <c r="B155" s="1" t="s">
        <v>339</v>
      </c>
      <c r="C155" s="1" t="s">
        <v>7</v>
      </c>
      <c r="D155" s="1" t="s">
        <v>19</v>
      </c>
    </row>
    <row r="156" ht="14.25" customHeight="1">
      <c r="A156" s="1" t="s">
        <v>970</v>
      </c>
      <c r="B156" s="1" t="s">
        <v>339</v>
      </c>
      <c r="C156" s="1" t="s">
        <v>5</v>
      </c>
      <c r="D156" s="1" t="s">
        <v>971</v>
      </c>
    </row>
    <row r="157" ht="14.25" customHeight="1">
      <c r="A157" s="1" t="s">
        <v>970</v>
      </c>
      <c r="B157" s="1" t="s">
        <v>339</v>
      </c>
      <c r="C157" s="1" t="s">
        <v>6</v>
      </c>
      <c r="D157" s="1" t="s">
        <v>21</v>
      </c>
    </row>
    <row r="158" ht="14.25" customHeight="1">
      <c r="A158" s="1" t="s">
        <v>972</v>
      </c>
      <c r="B158" s="1" t="s">
        <v>246</v>
      </c>
      <c r="C158" s="1" t="s">
        <v>7</v>
      </c>
      <c r="D158" s="1" t="s">
        <v>9</v>
      </c>
    </row>
    <row r="159" ht="14.25" customHeight="1">
      <c r="A159" s="1" t="s">
        <v>972</v>
      </c>
      <c r="B159" s="1" t="s">
        <v>246</v>
      </c>
      <c r="C159" s="1" t="s">
        <v>5</v>
      </c>
      <c r="D159" s="1" t="s">
        <v>973</v>
      </c>
    </row>
    <row r="160" ht="14.25" customHeight="1">
      <c r="A160" s="1" t="s">
        <v>972</v>
      </c>
      <c r="B160" s="1" t="s">
        <v>246</v>
      </c>
      <c r="C160" s="1" t="s">
        <v>6</v>
      </c>
      <c r="D160" s="1" t="s">
        <v>15</v>
      </c>
    </row>
    <row r="161" ht="14.25" customHeight="1">
      <c r="A161" s="1" t="s">
        <v>974</v>
      </c>
      <c r="B161" s="1" t="s">
        <v>249</v>
      </c>
      <c r="C161" s="1" t="s">
        <v>7</v>
      </c>
      <c r="D161" s="1" t="s">
        <v>25</v>
      </c>
    </row>
    <row r="162" ht="14.25" customHeight="1">
      <c r="A162" s="1" t="s">
        <v>974</v>
      </c>
      <c r="B162" s="1" t="s">
        <v>249</v>
      </c>
      <c r="C162" s="1" t="s">
        <v>5</v>
      </c>
      <c r="D162" s="1" t="s">
        <v>975</v>
      </c>
    </row>
    <row r="163" ht="14.25" customHeight="1">
      <c r="A163" s="1" t="s">
        <v>974</v>
      </c>
      <c r="B163" s="1" t="s">
        <v>249</v>
      </c>
      <c r="C163" s="1" t="s">
        <v>6</v>
      </c>
      <c r="D163" s="1" t="s">
        <v>15</v>
      </c>
    </row>
    <row r="164" ht="14.25" customHeight="1">
      <c r="A164" s="1" t="s">
        <v>976</v>
      </c>
      <c r="B164" s="1" t="s">
        <v>233</v>
      </c>
      <c r="C164" s="1" t="s">
        <v>7</v>
      </c>
      <c r="D164" s="1" t="s">
        <v>19</v>
      </c>
    </row>
    <row r="165" ht="14.25" customHeight="1">
      <c r="A165" s="1" t="s">
        <v>976</v>
      </c>
      <c r="B165" s="1" t="s">
        <v>233</v>
      </c>
      <c r="C165" s="1" t="s">
        <v>5</v>
      </c>
      <c r="D165" s="1" t="s">
        <v>977</v>
      </c>
    </row>
    <row r="166" ht="14.25" customHeight="1">
      <c r="A166" s="1" t="s">
        <v>976</v>
      </c>
      <c r="B166" s="1" t="s">
        <v>233</v>
      </c>
      <c r="C166" s="1" t="s">
        <v>6</v>
      </c>
      <c r="D166" s="1" t="s">
        <v>21</v>
      </c>
    </row>
    <row r="167" ht="14.25" customHeight="1">
      <c r="A167" s="1" t="s">
        <v>978</v>
      </c>
      <c r="B167" s="1" t="s">
        <v>472</v>
      </c>
      <c r="C167" s="1" t="s">
        <v>7</v>
      </c>
      <c r="D167" s="1" t="s">
        <v>19</v>
      </c>
    </row>
    <row r="168" ht="14.25" customHeight="1">
      <c r="A168" s="1" t="s">
        <v>978</v>
      </c>
      <c r="B168" s="1" t="s">
        <v>472</v>
      </c>
      <c r="C168" s="1" t="s">
        <v>5</v>
      </c>
      <c r="D168" s="1" t="s">
        <v>979</v>
      </c>
    </row>
    <row r="169" ht="14.25" customHeight="1">
      <c r="A169" s="1" t="s">
        <v>978</v>
      </c>
      <c r="B169" s="1" t="s">
        <v>472</v>
      </c>
      <c r="C169" s="1" t="s">
        <v>6</v>
      </c>
      <c r="D169" s="1" t="s">
        <v>21</v>
      </c>
    </row>
    <row r="170" ht="14.25" customHeight="1">
      <c r="A170" s="1" t="s">
        <v>980</v>
      </c>
      <c r="B170" s="1" t="s">
        <v>208</v>
      </c>
      <c r="C170" s="1" t="s">
        <v>7</v>
      </c>
      <c r="D170" s="1" t="s">
        <v>9</v>
      </c>
    </row>
    <row r="171" ht="14.25" customHeight="1">
      <c r="A171" s="1" t="s">
        <v>980</v>
      </c>
      <c r="B171" s="1" t="s">
        <v>208</v>
      </c>
      <c r="C171" s="1" t="s">
        <v>5</v>
      </c>
      <c r="D171" s="1" t="s">
        <v>981</v>
      </c>
    </row>
    <row r="172" ht="14.25" customHeight="1">
      <c r="A172" s="1" t="s">
        <v>980</v>
      </c>
      <c r="B172" s="1" t="s">
        <v>208</v>
      </c>
      <c r="C172" s="1" t="s">
        <v>6</v>
      </c>
      <c r="D172" s="1" t="s">
        <v>21</v>
      </c>
    </row>
    <row r="173" ht="14.25" customHeight="1">
      <c r="A173" s="1" t="s">
        <v>982</v>
      </c>
      <c r="B173" s="1" t="s">
        <v>292</v>
      </c>
      <c r="C173" s="1" t="s">
        <v>7</v>
      </c>
      <c r="D173" s="1" t="s">
        <v>19</v>
      </c>
    </row>
    <row r="174" ht="14.25" customHeight="1">
      <c r="A174" s="1" t="s">
        <v>982</v>
      </c>
      <c r="B174" s="1" t="s">
        <v>292</v>
      </c>
      <c r="C174" s="1" t="s">
        <v>5</v>
      </c>
      <c r="D174" s="1" t="s">
        <v>983</v>
      </c>
    </row>
    <row r="175" ht="14.25" customHeight="1">
      <c r="A175" s="1" t="s">
        <v>982</v>
      </c>
      <c r="B175" s="1" t="s">
        <v>292</v>
      </c>
      <c r="C175" s="1" t="s">
        <v>6</v>
      </c>
      <c r="D175" s="1" t="s">
        <v>11</v>
      </c>
    </row>
    <row r="176" ht="14.25" customHeight="1">
      <c r="A176" s="1" t="s">
        <v>984</v>
      </c>
      <c r="B176" s="1" t="s">
        <v>230</v>
      </c>
      <c r="C176" s="1" t="s">
        <v>7</v>
      </c>
      <c r="D176" s="1" t="s">
        <v>25</v>
      </c>
    </row>
    <row r="177" ht="14.25" customHeight="1">
      <c r="A177" s="1" t="s">
        <v>984</v>
      </c>
      <c r="B177" s="1" t="s">
        <v>230</v>
      </c>
      <c r="C177" s="1" t="s">
        <v>5</v>
      </c>
      <c r="D177" s="1" t="s">
        <v>985</v>
      </c>
    </row>
    <row r="178" ht="14.25" customHeight="1">
      <c r="A178" s="1" t="s">
        <v>984</v>
      </c>
      <c r="B178" s="1" t="s">
        <v>230</v>
      </c>
      <c r="C178" s="1" t="s">
        <v>6</v>
      </c>
      <c r="D178" s="1" t="s">
        <v>11</v>
      </c>
    </row>
    <row r="179" ht="14.25" customHeight="1">
      <c r="A179" s="1" t="s">
        <v>986</v>
      </c>
      <c r="B179" s="1" t="s">
        <v>317</v>
      </c>
      <c r="C179" s="1" t="s">
        <v>7</v>
      </c>
      <c r="D179" s="1" t="s">
        <v>9</v>
      </c>
    </row>
    <row r="180" ht="14.25" customHeight="1">
      <c r="A180" s="1" t="s">
        <v>986</v>
      </c>
      <c r="B180" s="1" t="s">
        <v>317</v>
      </c>
      <c r="C180" s="1" t="s">
        <v>5</v>
      </c>
      <c r="D180" s="1" t="s">
        <v>987</v>
      </c>
    </row>
    <row r="181" ht="14.25" customHeight="1">
      <c r="A181" s="1" t="s">
        <v>986</v>
      </c>
      <c r="B181" s="1" t="s">
        <v>317</v>
      </c>
      <c r="C181" s="1" t="s">
        <v>6</v>
      </c>
      <c r="D181" s="1" t="s">
        <v>11</v>
      </c>
    </row>
    <row r="182" ht="14.25" customHeight="1">
      <c r="A182" s="1" t="s">
        <v>988</v>
      </c>
      <c r="B182" s="1" t="s">
        <v>398</v>
      </c>
      <c r="C182" s="1" t="s">
        <v>7</v>
      </c>
      <c r="D182" s="1" t="s">
        <v>9</v>
      </c>
    </row>
    <row r="183" ht="14.25" customHeight="1">
      <c r="A183" s="1" t="s">
        <v>988</v>
      </c>
      <c r="B183" s="1" t="s">
        <v>398</v>
      </c>
      <c r="C183" s="1" t="s">
        <v>5</v>
      </c>
      <c r="D183" s="1" t="s">
        <v>989</v>
      </c>
    </row>
    <row r="184" ht="14.25" customHeight="1">
      <c r="A184" s="1" t="s">
        <v>988</v>
      </c>
      <c r="B184" s="1" t="s">
        <v>398</v>
      </c>
      <c r="C184" s="1" t="s">
        <v>6</v>
      </c>
      <c r="D184" s="1" t="s">
        <v>11</v>
      </c>
    </row>
    <row r="185" ht="14.25" customHeight="1">
      <c r="A185" s="1" t="s">
        <v>990</v>
      </c>
      <c r="B185" s="1" t="s">
        <v>191</v>
      </c>
      <c r="C185" s="1" t="s">
        <v>7</v>
      </c>
      <c r="D185" s="1" t="s">
        <v>25</v>
      </c>
    </row>
    <row r="186" ht="14.25" customHeight="1">
      <c r="A186" s="1" t="s">
        <v>990</v>
      </c>
      <c r="B186" s="1" t="s">
        <v>191</v>
      </c>
      <c r="C186" s="1" t="s">
        <v>5</v>
      </c>
      <c r="D186" s="1" t="s">
        <v>991</v>
      </c>
    </row>
    <row r="187" ht="14.25" customHeight="1">
      <c r="A187" s="1" t="s">
        <v>990</v>
      </c>
      <c r="B187" s="1" t="s">
        <v>191</v>
      </c>
      <c r="C187" s="1" t="s">
        <v>6</v>
      </c>
      <c r="D187" s="1" t="s">
        <v>15</v>
      </c>
    </row>
    <row r="188" ht="14.25" customHeight="1">
      <c r="A188" s="1" t="s">
        <v>992</v>
      </c>
      <c r="B188" s="1" t="s">
        <v>203</v>
      </c>
      <c r="C188" s="1" t="s">
        <v>7</v>
      </c>
      <c r="D188" s="1" t="s">
        <v>19</v>
      </c>
    </row>
    <row r="189" ht="14.25" customHeight="1">
      <c r="A189" s="1" t="s">
        <v>992</v>
      </c>
      <c r="B189" s="1" t="s">
        <v>203</v>
      </c>
      <c r="C189" s="1" t="s">
        <v>5</v>
      </c>
      <c r="D189" s="1" t="s">
        <v>993</v>
      </c>
    </row>
    <row r="190" ht="14.25" customHeight="1">
      <c r="A190" s="1" t="s">
        <v>992</v>
      </c>
      <c r="B190" s="1" t="s">
        <v>203</v>
      </c>
      <c r="C190" s="1" t="s">
        <v>6</v>
      </c>
      <c r="D190" s="1" t="s">
        <v>11</v>
      </c>
    </row>
    <row r="191" ht="14.25" customHeight="1">
      <c r="A191" s="1" t="s">
        <v>994</v>
      </c>
      <c r="B191" s="1" t="s">
        <v>317</v>
      </c>
      <c r="C191" s="1" t="s">
        <v>7</v>
      </c>
      <c r="D191" s="1" t="s">
        <v>9</v>
      </c>
    </row>
    <row r="192" ht="14.25" customHeight="1">
      <c r="A192" s="1" t="s">
        <v>994</v>
      </c>
      <c r="B192" s="1" t="s">
        <v>317</v>
      </c>
      <c r="C192" s="1" t="s">
        <v>5</v>
      </c>
      <c r="D192" s="1" t="s">
        <v>995</v>
      </c>
    </row>
    <row r="193" ht="14.25" customHeight="1">
      <c r="A193" s="1" t="s">
        <v>994</v>
      </c>
      <c r="B193" s="1" t="s">
        <v>317</v>
      </c>
      <c r="C193" s="1" t="s">
        <v>6</v>
      </c>
      <c r="D193" s="1" t="s">
        <v>15</v>
      </c>
    </row>
    <row r="194" ht="14.25" customHeight="1">
      <c r="A194" s="1" t="s">
        <v>996</v>
      </c>
      <c r="B194" s="1" t="s">
        <v>310</v>
      </c>
      <c r="C194" s="1" t="s">
        <v>7</v>
      </c>
      <c r="D194" s="1" t="s">
        <v>13</v>
      </c>
    </row>
    <row r="195" ht="14.25" customHeight="1">
      <c r="A195" s="1" t="s">
        <v>996</v>
      </c>
      <c r="B195" s="1" t="s">
        <v>310</v>
      </c>
      <c r="C195" s="1" t="s">
        <v>5</v>
      </c>
      <c r="D195" s="1" t="s">
        <v>997</v>
      </c>
    </row>
    <row r="196" ht="14.25" customHeight="1">
      <c r="A196" s="1" t="s">
        <v>996</v>
      </c>
      <c r="B196" s="1" t="s">
        <v>310</v>
      </c>
      <c r="C196" s="1" t="s">
        <v>6</v>
      </c>
      <c r="D196" s="1" t="s">
        <v>15</v>
      </c>
    </row>
    <row r="197" ht="14.25" customHeight="1">
      <c r="A197" s="1" t="s">
        <v>998</v>
      </c>
      <c r="B197" s="1" t="s">
        <v>472</v>
      </c>
      <c r="C197" s="1" t="s">
        <v>7</v>
      </c>
      <c r="D197" s="1" t="s">
        <v>13</v>
      </c>
    </row>
    <row r="198" ht="14.25" customHeight="1">
      <c r="A198" s="1" t="s">
        <v>998</v>
      </c>
      <c r="B198" s="1" t="s">
        <v>472</v>
      </c>
      <c r="C198" s="1" t="s">
        <v>5</v>
      </c>
      <c r="D198" s="1" t="s">
        <v>999</v>
      </c>
    </row>
    <row r="199" ht="14.25" customHeight="1">
      <c r="A199" s="1" t="s">
        <v>998</v>
      </c>
      <c r="B199" s="1" t="s">
        <v>472</v>
      </c>
      <c r="C199" s="1" t="s">
        <v>6</v>
      </c>
      <c r="D199" s="1" t="s">
        <v>15</v>
      </c>
    </row>
    <row r="200" ht="14.25" customHeight="1">
      <c r="A200" s="1" t="s">
        <v>1000</v>
      </c>
      <c r="B200" s="1" t="s">
        <v>223</v>
      </c>
      <c r="C200" s="1" t="s">
        <v>7</v>
      </c>
      <c r="D200" s="1" t="s">
        <v>25</v>
      </c>
    </row>
    <row r="201" ht="14.25" customHeight="1">
      <c r="A201" s="1" t="s">
        <v>1000</v>
      </c>
      <c r="B201" s="1" t="s">
        <v>223</v>
      </c>
      <c r="C201" s="1" t="s">
        <v>5</v>
      </c>
      <c r="D201" s="1" t="s">
        <v>1001</v>
      </c>
    </row>
    <row r="202" ht="14.25" customHeight="1">
      <c r="A202" s="1" t="s">
        <v>1000</v>
      </c>
      <c r="B202" s="1" t="s">
        <v>223</v>
      </c>
      <c r="C202" s="1" t="s">
        <v>6</v>
      </c>
      <c r="D202" s="1" t="s">
        <v>21</v>
      </c>
    </row>
    <row r="203" ht="14.25" customHeight="1">
      <c r="A203" s="1" t="s">
        <v>1002</v>
      </c>
      <c r="B203" s="1" t="s">
        <v>310</v>
      </c>
      <c r="C203" s="1" t="s">
        <v>7</v>
      </c>
      <c r="D203" s="1" t="s">
        <v>25</v>
      </c>
    </row>
    <row r="204" ht="14.25" customHeight="1">
      <c r="A204" s="1" t="s">
        <v>1002</v>
      </c>
      <c r="B204" s="1" t="s">
        <v>310</v>
      </c>
      <c r="C204" s="1" t="s">
        <v>5</v>
      </c>
      <c r="D204" s="1" t="s">
        <v>1003</v>
      </c>
    </row>
    <row r="205" ht="14.25" customHeight="1">
      <c r="A205" s="1" t="s">
        <v>1002</v>
      </c>
      <c r="B205" s="1" t="s">
        <v>310</v>
      </c>
      <c r="C205" s="1" t="s">
        <v>6</v>
      </c>
      <c r="D205" s="1" t="s">
        <v>11</v>
      </c>
    </row>
    <row r="206" ht="14.25" customHeight="1">
      <c r="A206" s="1" t="s">
        <v>1004</v>
      </c>
      <c r="B206" s="1" t="s">
        <v>239</v>
      </c>
      <c r="C206" s="1" t="s">
        <v>7</v>
      </c>
      <c r="D206" s="1" t="s">
        <v>13</v>
      </c>
    </row>
    <row r="207" ht="14.25" customHeight="1">
      <c r="A207" s="1" t="s">
        <v>1004</v>
      </c>
      <c r="B207" s="1" t="s">
        <v>239</v>
      </c>
      <c r="C207" s="1" t="s">
        <v>5</v>
      </c>
      <c r="D207" s="1" t="s">
        <v>1005</v>
      </c>
    </row>
    <row r="208" ht="14.25" customHeight="1">
      <c r="A208" s="1" t="s">
        <v>1004</v>
      </c>
      <c r="B208" s="1" t="s">
        <v>239</v>
      </c>
      <c r="C208" s="1" t="s">
        <v>6</v>
      </c>
      <c r="D208" s="1" t="s">
        <v>21</v>
      </c>
    </row>
    <row r="209" ht="14.25" customHeight="1">
      <c r="A209" s="1" t="s">
        <v>1006</v>
      </c>
      <c r="B209" s="1" t="s">
        <v>239</v>
      </c>
      <c r="C209" s="1" t="s">
        <v>7</v>
      </c>
      <c r="D209" s="1" t="s">
        <v>13</v>
      </c>
    </row>
    <row r="210" ht="14.25" customHeight="1">
      <c r="A210" s="1" t="s">
        <v>1006</v>
      </c>
      <c r="B210" s="1" t="s">
        <v>239</v>
      </c>
      <c r="C210" s="1" t="s">
        <v>5</v>
      </c>
      <c r="D210" s="1" t="s">
        <v>1007</v>
      </c>
    </row>
    <row r="211" ht="14.25" customHeight="1">
      <c r="A211" s="1" t="s">
        <v>1006</v>
      </c>
      <c r="B211" s="1" t="s">
        <v>239</v>
      </c>
      <c r="C211" s="1" t="s">
        <v>6</v>
      </c>
      <c r="D211" s="1" t="s">
        <v>21</v>
      </c>
    </row>
    <row r="212" ht="14.25" customHeight="1">
      <c r="A212" s="1" t="s">
        <v>1008</v>
      </c>
      <c r="B212" s="1" t="s">
        <v>230</v>
      </c>
      <c r="C212" s="1" t="s">
        <v>7</v>
      </c>
      <c r="D212" s="1" t="s">
        <v>9</v>
      </c>
    </row>
    <row r="213" ht="14.25" customHeight="1">
      <c r="A213" s="1" t="s">
        <v>1008</v>
      </c>
      <c r="B213" s="1" t="s">
        <v>230</v>
      </c>
      <c r="C213" s="1" t="s">
        <v>5</v>
      </c>
      <c r="D213" s="1" t="s">
        <v>1009</v>
      </c>
    </row>
    <row r="214" ht="14.25" customHeight="1">
      <c r="A214" s="1" t="s">
        <v>1008</v>
      </c>
      <c r="B214" s="1" t="s">
        <v>230</v>
      </c>
      <c r="C214" s="1" t="s">
        <v>6</v>
      </c>
      <c r="D214" s="1" t="s">
        <v>21</v>
      </c>
    </row>
    <row r="215" ht="14.25" customHeight="1">
      <c r="A215" s="1" t="s">
        <v>1010</v>
      </c>
      <c r="B215" s="1" t="s">
        <v>197</v>
      </c>
      <c r="C215" s="1" t="s">
        <v>7</v>
      </c>
      <c r="D215" s="1" t="s">
        <v>19</v>
      </c>
    </row>
    <row r="216" ht="14.25" customHeight="1">
      <c r="A216" s="1" t="s">
        <v>1010</v>
      </c>
      <c r="B216" s="1" t="s">
        <v>197</v>
      </c>
      <c r="C216" s="1" t="s">
        <v>5</v>
      </c>
      <c r="D216" s="1" t="s">
        <v>1011</v>
      </c>
    </row>
    <row r="217" ht="14.25" customHeight="1">
      <c r="A217" s="1" t="s">
        <v>1010</v>
      </c>
      <c r="B217" s="1" t="s">
        <v>197</v>
      </c>
      <c r="C217" s="1" t="s">
        <v>6</v>
      </c>
      <c r="D217" s="1" t="s">
        <v>11</v>
      </c>
    </row>
    <row r="218" ht="14.25" customHeight="1">
      <c r="A218" s="1" t="s">
        <v>1012</v>
      </c>
      <c r="B218" s="1" t="s">
        <v>194</v>
      </c>
      <c r="C218" s="1" t="s">
        <v>7</v>
      </c>
      <c r="D218" s="1" t="s">
        <v>25</v>
      </c>
    </row>
    <row r="219" ht="14.25" customHeight="1">
      <c r="A219" s="1" t="s">
        <v>1012</v>
      </c>
      <c r="B219" s="1" t="s">
        <v>194</v>
      </c>
      <c r="C219" s="1" t="s">
        <v>5</v>
      </c>
      <c r="D219" s="1" t="s">
        <v>178</v>
      </c>
    </row>
    <row r="220" ht="14.25" customHeight="1">
      <c r="A220" s="1" t="s">
        <v>1012</v>
      </c>
      <c r="B220" s="1" t="s">
        <v>194</v>
      </c>
      <c r="C220" s="1" t="s">
        <v>6</v>
      </c>
      <c r="D220" s="1" t="s">
        <v>15</v>
      </c>
    </row>
    <row r="221" ht="14.25" customHeight="1">
      <c r="A221" s="1" t="s">
        <v>1013</v>
      </c>
      <c r="B221" s="1" t="s">
        <v>381</v>
      </c>
      <c r="C221" s="1" t="s">
        <v>7</v>
      </c>
      <c r="D221" s="1" t="s">
        <v>19</v>
      </c>
    </row>
    <row r="222" ht="14.25" customHeight="1">
      <c r="A222" s="1" t="s">
        <v>1013</v>
      </c>
      <c r="B222" s="1" t="s">
        <v>381</v>
      </c>
      <c r="C222" s="1" t="s">
        <v>5</v>
      </c>
      <c r="D222" s="1" t="s">
        <v>1014</v>
      </c>
    </row>
    <row r="223" ht="14.25" customHeight="1">
      <c r="A223" s="1" t="s">
        <v>1013</v>
      </c>
      <c r="B223" s="1" t="s">
        <v>381</v>
      </c>
      <c r="C223" s="1" t="s">
        <v>6</v>
      </c>
      <c r="D223" s="1" t="s">
        <v>11</v>
      </c>
    </row>
    <row r="224" ht="14.25" customHeight="1">
      <c r="A224" s="1" t="s">
        <v>1015</v>
      </c>
      <c r="B224" s="1" t="s">
        <v>211</v>
      </c>
      <c r="C224" s="1" t="s">
        <v>7</v>
      </c>
      <c r="D224" s="1" t="s">
        <v>13</v>
      </c>
    </row>
    <row r="225" ht="14.25" customHeight="1">
      <c r="A225" s="1" t="s">
        <v>1015</v>
      </c>
      <c r="B225" s="1" t="s">
        <v>211</v>
      </c>
      <c r="C225" s="1" t="s">
        <v>5</v>
      </c>
      <c r="D225" s="1" t="s">
        <v>1016</v>
      </c>
    </row>
    <row r="226" ht="14.25" customHeight="1">
      <c r="A226" s="1" t="s">
        <v>1015</v>
      </c>
      <c r="B226" s="1" t="s">
        <v>211</v>
      </c>
      <c r="C226" s="1" t="s">
        <v>6</v>
      </c>
      <c r="D226" s="1" t="s">
        <v>15</v>
      </c>
    </row>
    <row r="227" ht="14.25" customHeight="1">
      <c r="A227" s="1" t="s">
        <v>1017</v>
      </c>
      <c r="B227" s="1" t="s">
        <v>273</v>
      </c>
      <c r="C227" s="1" t="s">
        <v>7</v>
      </c>
      <c r="D227" s="1" t="s">
        <v>19</v>
      </c>
    </row>
    <row r="228" ht="14.25" customHeight="1">
      <c r="A228" s="1" t="s">
        <v>1017</v>
      </c>
      <c r="B228" s="1" t="s">
        <v>273</v>
      </c>
      <c r="C228" s="1" t="s">
        <v>5</v>
      </c>
      <c r="D228" s="1" t="s">
        <v>1018</v>
      </c>
    </row>
    <row r="229" ht="14.25" customHeight="1">
      <c r="A229" s="1" t="s">
        <v>1017</v>
      </c>
      <c r="B229" s="1" t="s">
        <v>273</v>
      </c>
      <c r="C229" s="1" t="s">
        <v>6</v>
      </c>
      <c r="D229" s="1" t="s">
        <v>21</v>
      </c>
    </row>
    <row r="230" ht="14.25" customHeight="1">
      <c r="A230" s="1" t="s">
        <v>1019</v>
      </c>
      <c r="B230" s="1" t="s">
        <v>339</v>
      </c>
      <c r="C230" s="1" t="s">
        <v>7</v>
      </c>
      <c r="D230" s="1" t="s">
        <v>25</v>
      </c>
    </row>
    <row r="231" ht="14.25" customHeight="1">
      <c r="A231" s="1" t="s">
        <v>1019</v>
      </c>
      <c r="B231" s="1" t="s">
        <v>339</v>
      </c>
      <c r="C231" s="1" t="s">
        <v>5</v>
      </c>
      <c r="D231" s="1" t="s">
        <v>1020</v>
      </c>
    </row>
    <row r="232" ht="14.25" customHeight="1">
      <c r="A232" s="1" t="s">
        <v>1019</v>
      </c>
      <c r="B232" s="1" t="s">
        <v>339</v>
      </c>
      <c r="C232" s="1" t="s">
        <v>6</v>
      </c>
      <c r="D232" s="1" t="s">
        <v>11</v>
      </c>
    </row>
    <row r="233" ht="14.25" customHeight="1">
      <c r="A233" s="1" t="s">
        <v>1021</v>
      </c>
      <c r="B233" s="1" t="s">
        <v>472</v>
      </c>
      <c r="C233" s="1" t="s">
        <v>7</v>
      </c>
      <c r="D233" s="1" t="s">
        <v>19</v>
      </c>
    </row>
    <row r="234" ht="14.25" customHeight="1">
      <c r="A234" s="1" t="s">
        <v>1021</v>
      </c>
      <c r="B234" s="1" t="s">
        <v>472</v>
      </c>
      <c r="C234" s="1" t="s">
        <v>5</v>
      </c>
      <c r="D234" s="1" t="s">
        <v>1022</v>
      </c>
    </row>
    <row r="235" ht="14.25" customHeight="1">
      <c r="A235" s="1" t="s">
        <v>1021</v>
      </c>
      <c r="B235" s="1" t="s">
        <v>472</v>
      </c>
      <c r="C235" s="1" t="s">
        <v>6</v>
      </c>
      <c r="D235" s="1" t="s">
        <v>11</v>
      </c>
    </row>
    <row r="236" ht="14.25" customHeight="1">
      <c r="A236" s="1" t="s">
        <v>1023</v>
      </c>
      <c r="B236" s="1" t="s">
        <v>233</v>
      </c>
      <c r="C236" s="1" t="s">
        <v>7</v>
      </c>
      <c r="D236" s="1" t="s">
        <v>25</v>
      </c>
    </row>
    <row r="237" ht="14.25" customHeight="1">
      <c r="A237" s="1" t="s">
        <v>1023</v>
      </c>
      <c r="B237" s="1" t="s">
        <v>233</v>
      </c>
      <c r="C237" s="1" t="s">
        <v>5</v>
      </c>
      <c r="D237" s="1" t="s">
        <v>1024</v>
      </c>
    </row>
    <row r="238" ht="14.25" customHeight="1">
      <c r="A238" s="1" t="s">
        <v>1023</v>
      </c>
      <c r="B238" s="1" t="s">
        <v>233</v>
      </c>
      <c r="C238" s="1" t="s">
        <v>6</v>
      </c>
      <c r="D238" s="1" t="s">
        <v>15</v>
      </c>
    </row>
    <row r="239" ht="14.25" customHeight="1">
      <c r="A239" s="1" t="s">
        <v>1025</v>
      </c>
      <c r="B239" s="1" t="s">
        <v>188</v>
      </c>
      <c r="C239" s="1" t="s">
        <v>7</v>
      </c>
      <c r="D239" s="1" t="s">
        <v>19</v>
      </c>
    </row>
    <row r="240" ht="14.25" customHeight="1">
      <c r="A240" s="1" t="s">
        <v>1025</v>
      </c>
      <c r="B240" s="1" t="s">
        <v>188</v>
      </c>
      <c r="C240" s="1" t="s">
        <v>5</v>
      </c>
      <c r="D240" s="1" t="s">
        <v>1026</v>
      </c>
    </row>
    <row r="241" ht="14.25" customHeight="1">
      <c r="A241" s="1" t="s">
        <v>1025</v>
      </c>
      <c r="B241" s="1" t="s">
        <v>188</v>
      </c>
      <c r="C241" s="1" t="s">
        <v>6</v>
      </c>
      <c r="D241" s="1" t="s">
        <v>11</v>
      </c>
    </row>
    <row r="242" ht="14.25" customHeight="1">
      <c r="A242" s="1" t="s">
        <v>1027</v>
      </c>
      <c r="B242" s="1" t="s">
        <v>208</v>
      </c>
      <c r="C242" s="1" t="s">
        <v>7</v>
      </c>
      <c r="D242" s="1" t="s">
        <v>9</v>
      </c>
    </row>
    <row r="243" ht="14.25" customHeight="1">
      <c r="A243" s="1" t="s">
        <v>1027</v>
      </c>
      <c r="B243" s="1" t="s">
        <v>208</v>
      </c>
      <c r="C243" s="1" t="s">
        <v>5</v>
      </c>
      <c r="D243" s="1" t="s">
        <v>1028</v>
      </c>
    </row>
    <row r="244" ht="14.25" customHeight="1">
      <c r="A244" s="1" t="s">
        <v>1027</v>
      </c>
      <c r="B244" s="1" t="s">
        <v>208</v>
      </c>
      <c r="C244" s="1" t="s">
        <v>6</v>
      </c>
      <c r="D244" s="1" t="s">
        <v>11</v>
      </c>
    </row>
    <row r="245" ht="14.25" customHeight="1">
      <c r="A245" s="1" t="s">
        <v>1029</v>
      </c>
      <c r="B245" s="1" t="s">
        <v>208</v>
      </c>
      <c r="C245" s="1" t="s">
        <v>7</v>
      </c>
      <c r="D245" s="1" t="s">
        <v>13</v>
      </c>
    </row>
    <row r="246" ht="14.25" customHeight="1">
      <c r="A246" s="1" t="s">
        <v>1029</v>
      </c>
      <c r="B246" s="1" t="s">
        <v>208</v>
      </c>
      <c r="C246" s="1" t="s">
        <v>5</v>
      </c>
      <c r="D246" s="1" t="s">
        <v>1030</v>
      </c>
    </row>
    <row r="247" ht="14.25" customHeight="1">
      <c r="A247" s="1" t="s">
        <v>1029</v>
      </c>
      <c r="B247" s="1" t="s">
        <v>208</v>
      </c>
      <c r="C247" s="1" t="s">
        <v>6</v>
      </c>
      <c r="D247" s="1" t="s">
        <v>15</v>
      </c>
    </row>
    <row r="248" ht="14.25" customHeight="1">
      <c r="A248" s="1" t="s">
        <v>1031</v>
      </c>
      <c r="B248" s="1" t="s">
        <v>214</v>
      </c>
      <c r="C248" s="1" t="s">
        <v>7</v>
      </c>
      <c r="D248" s="1" t="s">
        <v>13</v>
      </c>
    </row>
    <row r="249" ht="14.25" customHeight="1">
      <c r="A249" s="1" t="s">
        <v>1031</v>
      </c>
      <c r="B249" s="1" t="s">
        <v>214</v>
      </c>
      <c r="C249" s="1" t="s">
        <v>5</v>
      </c>
      <c r="D249" s="1" t="s">
        <v>1032</v>
      </c>
    </row>
    <row r="250" ht="14.25" customHeight="1">
      <c r="A250" s="1" t="s">
        <v>1031</v>
      </c>
      <c r="B250" s="1" t="s">
        <v>214</v>
      </c>
      <c r="C250" s="1" t="s">
        <v>6</v>
      </c>
      <c r="D250" s="1" t="s">
        <v>15</v>
      </c>
    </row>
    <row r="251" ht="14.25" customHeight="1">
      <c r="A251" s="1" t="s">
        <v>1033</v>
      </c>
      <c r="B251" s="1" t="s">
        <v>292</v>
      </c>
      <c r="C251" s="1" t="s">
        <v>7</v>
      </c>
      <c r="D251" s="1" t="s">
        <v>19</v>
      </c>
    </row>
    <row r="252" ht="14.25" customHeight="1">
      <c r="A252" s="1" t="s">
        <v>1033</v>
      </c>
      <c r="B252" s="1" t="s">
        <v>292</v>
      </c>
      <c r="C252" s="1" t="s">
        <v>5</v>
      </c>
      <c r="D252" s="1" t="s">
        <v>1034</v>
      </c>
    </row>
    <row r="253" ht="14.25" customHeight="1">
      <c r="A253" s="1" t="s">
        <v>1033</v>
      </c>
      <c r="B253" s="1" t="s">
        <v>292</v>
      </c>
      <c r="C253" s="1" t="s">
        <v>6</v>
      </c>
      <c r="D253" s="1" t="s">
        <v>21</v>
      </c>
    </row>
    <row r="254" ht="14.25" customHeight="1">
      <c r="A254" s="1" t="s">
        <v>1035</v>
      </c>
      <c r="B254" s="1" t="s">
        <v>339</v>
      </c>
      <c r="C254" s="1" t="s">
        <v>7</v>
      </c>
      <c r="D254" s="1" t="s">
        <v>19</v>
      </c>
    </row>
    <row r="255" ht="14.25" customHeight="1">
      <c r="A255" s="1" t="s">
        <v>1035</v>
      </c>
      <c r="B255" s="1" t="s">
        <v>339</v>
      </c>
      <c r="C255" s="1" t="s">
        <v>5</v>
      </c>
      <c r="D255" s="1" t="s">
        <v>1036</v>
      </c>
    </row>
    <row r="256" ht="14.25" customHeight="1">
      <c r="A256" s="1" t="s">
        <v>1035</v>
      </c>
      <c r="B256" s="1" t="s">
        <v>339</v>
      </c>
      <c r="C256" s="1" t="s">
        <v>6</v>
      </c>
      <c r="D256" s="1" t="s">
        <v>11</v>
      </c>
    </row>
    <row r="257" ht="14.25" customHeight="1">
      <c r="A257" s="1" t="s">
        <v>1037</v>
      </c>
      <c r="B257" s="1" t="s">
        <v>239</v>
      </c>
      <c r="C257" s="1" t="s">
        <v>7</v>
      </c>
      <c r="D257" s="1" t="s">
        <v>19</v>
      </c>
    </row>
    <row r="258" ht="14.25" customHeight="1">
      <c r="A258" s="1" t="s">
        <v>1037</v>
      </c>
      <c r="B258" s="1" t="s">
        <v>239</v>
      </c>
      <c r="C258" s="1" t="s">
        <v>5</v>
      </c>
      <c r="D258" s="1" t="s">
        <v>1038</v>
      </c>
    </row>
    <row r="259" ht="14.25" customHeight="1">
      <c r="A259" s="1" t="s">
        <v>1037</v>
      </c>
      <c r="B259" s="1" t="s">
        <v>239</v>
      </c>
      <c r="C259" s="1" t="s">
        <v>6</v>
      </c>
      <c r="D259" s="1" t="s">
        <v>21</v>
      </c>
    </row>
    <row r="260" ht="14.25" customHeight="1">
      <c r="A260" s="1" t="s">
        <v>1039</v>
      </c>
      <c r="B260" s="1" t="s">
        <v>339</v>
      </c>
      <c r="C260" s="1" t="s">
        <v>7</v>
      </c>
      <c r="D260" s="1" t="s">
        <v>9</v>
      </c>
    </row>
    <row r="261" ht="14.25" customHeight="1">
      <c r="A261" s="1" t="s">
        <v>1039</v>
      </c>
      <c r="B261" s="1" t="s">
        <v>339</v>
      </c>
      <c r="C261" s="1" t="s">
        <v>5</v>
      </c>
      <c r="D261" s="1" t="s">
        <v>1040</v>
      </c>
    </row>
    <row r="262" ht="14.25" customHeight="1">
      <c r="A262" s="1" t="s">
        <v>1039</v>
      </c>
      <c r="B262" s="1" t="s">
        <v>339</v>
      </c>
      <c r="C262" s="1" t="s">
        <v>6</v>
      </c>
      <c r="D262" s="1" t="s">
        <v>21</v>
      </c>
    </row>
    <row r="263" ht="14.25" customHeight="1">
      <c r="A263" s="1" t="s">
        <v>1041</v>
      </c>
      <c r="B263" s="1" t="s">
        <v>273</v>
      </c>
      <c r="C263" s="1" t="s">
        <v>7</v>
      </c>
      <c r="D263" s="1" t="s">
        <v>25</v>
      </c>
    </row>
    <row r="264" ht="14.25" customHeight="1">
      <c r="A264" s="1" t="s">
        <v>1041</v>
      </c>
      <c r="B264" s="1" t="s">
        <v>273</v>
      </c>
      <c r="C264" s="1" t="s">
        <v>5</v>
      </c>
      <c r="D264" s="1" t="s">
        <v>1042</v>
      </c>
    </row>
    <row r="265" ht="14.25" customHeight="1">
      <c r="A265" s="1" t="s">
        <v>1041</v>
      </c>
      <c r="B265" s="1" t="s">
        <v>273</v>
      </c>
      <c r="C265" s="1" t="s">
        <v>6</v>
      </c>
      <c r="D265" s="1" t="s">
        <v>11</v>
      </c>
    </row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1043</v>
      </c>
      <c r="B2" s="1" t="s">
        <v>194</v>
      </c>
      <c r="C2" s="1" t="s">
        <v>7</v>
      </c>
      <c r="D2" s="1" t="s">
        <v>19</v>
      </c>
      <c r="F2" s="4" t="str">
        <f>IFERROR(__xludf.DUMMYFUNCTION("UNIQUE(A2:A1000)"),"245830")</f>
        <v>245830</v>
      </c>
      <c r="G2" s="4" t="str">
        <f t="shared" ref="G2:G73" si="1">CONCATENATE("07","/",VLOOKUP(F2, A2:D1000, 2, false),"/",2023)</f>
        <v>07/6/2023</v>
      </c>
      <c r="H2" s="4" t="str">
        <f t="shared" ref="H2:H73" si="2">INDEX(D:D, MATCH(1, ($A:$A = $F2) * ($C:$C = $H$1), 0))</f>
        <v>9/2/1972</v>
      </c>
      <c r="I2" s="4" t="str">
        <f t="shared" ref="I2:I73" si="3">INDEX(D:D, MATCH(1, ($A:$A = $F2) * ($C:$C = $I$1), 0))</f>
        <v>Basic</v>
      </c>
      <c r="J2" s="4" t="str">
        <f t="shared" ref="J2:J73" si="4">INDEX(D:D, MATCH(1, ($A:$A = $F2) * ($C:$C = $J$1), 0))</f>
        <v>Asian</v>
      </c>
    </row>
    <row r="3" ht="14.25" customHeight="1">
      <c r="A3" s="1" t="s">
        <v>1043</v>
      </c>
      <c r="B3" s="1" t="s">
        <v>194</v>
      </c>
      <c r="C3" s="1" t="s">
        <v>5</v>
      </c>
      <c r="D3" s="1" t="s">
        <v>1044</v>
      </c>
      <c r="F3" s="1" t="str">
        <f>IFERROR(__xludf.DUMMYFUNCTION("""COMPUTED_VALUE"""),"814161")</f>
        <v>814161</v>
      </c>
      <c r="G3" s="4" t="str">
        <f t="shared" si="1"/>
        <v>07/3/2023</v>
      </c>
      <c r="H3" s="4" t="str">
        <f t="shared" si="2"/>
        <v>12/2/1999</v>
      </c>
      <c r="I3" s="4" t="str">
        <f t="shared" si="3"/>
        <v>Gold</v>
      </c>
      <c r="J3" s="4" t="str">
        <f t="shared" si="4"/>
        <v>Black</v>
      </c>
    </row>
    <row r="4" ht="14.25" customHeight="1">
      <c r="A4" s="1" t="s">
        <v>1043</v>
      </c>
      <c r="B4" s="1" t="s">
        <v>194</v>
      </c>
      <c r="C4" s="1" t="s">
        <v>6</v>
      </c>
      <c r="D4" s="1" t="s">
        <v>21</v>
      </c>
      <c r="F4" s="1" t="str">
        <f>IFERROR(__xludf.DUMMYFUNCTION("""COMPUTED_VALUE"""),"593940")</f>
        <v>593940</v>
      </c>
      <c r="G4" s="4" t="str">
        <f t="shared" si="1"/>
        <v>07/16/2023</v>
      </c>
      <c r="H4" s="4" t="str">
        <f t="shared" si="2"/>
        <v>3/18/1981</v>
      </c>
      <c r="I4" s="4" t="str">
        <f t="shared" si="3"/>
        <v>Gold</v>
      </c>
      <c r="J4" s="4" t="str">
        <f t="shared" si="4"/>
        <v>Black</v>
      </c>
    </row>
    <row r="5" ht="14.25" customHeight="1">
      <c r="A5" s="1" t="s">
        <v>1045</v>
      </c>
      <c r="B5" s="1" t="s">
        <v>292</v>
      </c>
      <c r="C5" s="1" t="s">
        <v>7</v>
      </c>
      <c r="D5" s="1" t="s">
        <v>25</v>
      </c>
      <c r="F5" s="1" t="str">
        <f>IFERROR(__xludf.DUMMYFUNCTION("""COMPUTED_VALUE"""),"419675")</f>
        <v>419675</v>
      </c>
      <c r="G5" s="4" t="str">
        <f t="shared" si="1"/>
        <v>07/27/2023</v>
      </c>
      <c r="H5" s="4" t="str">
        <f t="shared" si="2"/>
        <v>6/19/1965</v>
      </c>
      <c r="I5" s="4" t="str">
        <f t="shared" si="3"/>
        <v>Gold</v>
      </c>
      <c r="J5" s="4" t="str">
        <f t="shared" si="4"/>
        <v>Black</v>
      </c>
    </row>
    <row r="6" ht="14.25" customHeight="1">
      <c r="A6" s="1" t="s">
        <v>1045</v>
      </c>
      <c r="B6" s="1" t="s">
        <v>292</v>
      </c>
      <c r="C6" s="1" t="s">
        <v>5</v>
      </c>
      <c r="D6" s="1" t="s">
        <v>1046</v>
      </c>
      <c r="F6" s="1" t="str">
        <f>IFERROR(__xludf.DUMMYFUNCTION("""COMPUTED_VALUE"""),"849187")</f>
        <v>849187</v>
      </c>
      <c r="G6" s="4" t="str">
        <f t="shared" si="1"/>
        <v>07/8/2023</v>
      </c>
      <c r="H6" s="4" t="str">
        <f t="shared" si="2"/>
        <v>10/27/1951</v>
      </c>
      <c r="I6" s="4" t="str">
        <f t="shared" si="3"/>
        <v>Platinum</v>
      </c>
      <c r="J6" s="4" t="str">
        <f t="shared" si="4"/>
        <v>Other</v>
      </c>
    </row>
    <row r="7" ht="14.25" customHeight="1">
      <c r="A7" s="1" t="s">
        <v>1045</v>
      </c>
      <c r="B7" s="1" t="s">
        <v>292</v>
      </c>
      <c r="C7" s="1" t="s">
        <v>6</v>
      </c>
      <c r="D7" s="1" t="s">
        <v>15</v>
      </c>
      <c r="F7" s="1" t="str">
        <f>IFERROR(__xludf.DUMMYFUNCTION("""COMPUTED_VALUE"""),"704346")</f>
        <v>704346</v>
      </c>
      <c r="G7" s="4" t="str">
        <f t="shared" si="1"/>
        <v>07/13/2023</v>
      </c>
      <c r="H7" s="4" t="str">
        <f t="shared" si="2"/>
        <v>11/4/1978</v>
      </c>
      <c r="I7" s="4" t="str">
        <f t="shared" si="3"/>
        <v>Gold</v>
      </c>
      <c r="J7" s="4" t="str">
        <f t="shared" si="4"/>
        <v>Other</v>
      </c>
    </row>
    <row r="8" ht="14.25" customHeight="1">
      <c r="A8" s="1" t="s">
        <v>1047</v>
      </c>
      <c r="B8" s="1" t="s">
        <v>249</v>
      </c>
      <c r="C8" s="1" t="s">
        <v>7</v>
      </c>
      <c r="D8" s="1" t="s">
        <v>25</v>
      </c>
      <c r="F8" s="1" t="str">
        <f>IFERROR(__xludf.DUMMYFUNCTION("""COMPUTED_VALUE"""),"116248")</f>
        <v>116248</v>
      </c>
      <c r="G8" s="4" t="str">
        <f t="shared" si="1"/>
        <v>07/2/2023</v>
      </c>
      <c r="H8" s="4" t="str">
        <f t="shared" si="2"/>
        <v>2/4/2004</v>
      </c>
      <c r="I8" s="4" t="str">
        <f t="shared" si="3"/>
        <v>Basic</v>
      </c>
      <c r="J8" s="4" t="str">
        <f t="shared" si="4"/>
        <v>White</v>
      </c>
    </row>
    <row r="9" ht="14.25" customHeight="1">
      <c r="A9" s="1" t="s">
        <v>1047</v>
      </c>
      <c r="B9" s="1" t="s">
        <v>249</v>
      </c>
      <c r="C9" s="1" t="s">
        <v>5</v>
      </c>
      <c r="D9" s="1" t="s">
        <v>1048</v>
      </c>
      <c r="F9" s="1" t="str">
        <f>IFERROR(__xludf.DUMMYFUNCTION("""COMPUTED_VALUE"""),"489429")</f>
        <v>489429</v>
      </c>
      <c r="G9" s="4" t="str">
        <f t="shared" si="1"/>
        <v>07/1/2023</v>
      </c>
      <c r="H9" s="4" t="str">
        <f t="shared" si="2"/>
        <v>11/16/2007</v>
      </c>
      <c r="I9" s="4" t="str">
        <f t="shared" si="3"/>
        <v>Platinum</v>
      </c>
      <c r="J9" s="4" t="str">
        <f t="shared" si="4"/>
        <v>Black</v>
      </c>
    </row>
    <row r="10" ht="14.25" customHeight="1">
      <c r="A10" s="1" t="s">
        <v>1047</v>
      </c>
      <c r="B10" s="1" t="s">
        <v>249</v>
      </c>
      <c r="C10" s="1" t="s">
        <v>6</v>
      </c>
      <c r="D10" s="1" t="s">
        <v>15</v>
      </c>
      <c r="F10" s="1" t="str">
        <f>IFERROR(__xludf.DUMMYFUNCTION("""COMPUTED_VALUE"""),"424911")</f>
        <v>424911</v>
      </c>
      <c r="G10" s="4" t="str">
        <f t="shared" si="1"/>
        <v>07/16/2023</v>
      </c>
      <c r="H10" s="4" t="str">
        <f t="shared" si="2"/>
        <v>3/21/1947</v>
      </c>
      <c r="I10" s="4" t="str">
        <f t="shared" si="3"/>
        <v>Platinum</v>
      </c>
      <c r="J10" s="4" t="str">
        <f t="shared" si="4"/>
        <v>Asian</v>
      </c>
    </row>
    <row r="11" ht="14.25" customHeight="1">
      <c r="A11" s="1" t="s">
        <v>1049</v>
      </c>
      <c r="B11" s="1" t="s">
        <v>203</v>
      </c>
      <c r="C11" s="1" t="s">
        <v>7</v>
      </c>
      <c r="D11" s="1" t="s">
        <v>25</v>
      </c>
      <c r="F11" s="1" t="str">
        <f>IFERROR(__xludf.DUMMYFUNCTION("""COMPUTED_VALUE"""),"970978")</f>
        <v>970978</v>
      </c>
      <c r="G11" s="4" t="str">
        <f t="shared" si="1"/>
        <v>07/8/2023</v>
      </c>
      <c r="H11" s="4" t="str">
        <f t="shared" si="2"/>
        <v>1/28/1945</v>
      </c>
      <c r="I11" s="4" t="str">
        <f t="shared" si="3"/>
        <v>Platinum</v>
      </c>
      <c r="J11" s="4" t="str">
        <f t="shared" si="4"/>
        <v>White</v>
      </c>
    </row>
    <row r="12" ht="14.25" customHeight="1">
      <c r="A12" s="1" t="s">
        <v>1049</v>
      </c>
      <c r="B12" s="1" t="s">
        <v>203</v>
      </c>
      <c r="C12" s="1" t="s">
        <v>5</v>
      </c>
      <c r="D12" s="1" t="s">
        <v>1050</v>
      </c>
      <c r="F12" s="1" t="str">
        <f>IFERROR(__xludf.DUMMYFUNCTION("""COMPUTED_VALUE"""),"494955")</f>
        <v>494955</v>
      </c>
      <c r="G12" s="4" t="str">
        <f t="shared" si="1"/>
        <v>07/17/2023</v>
      </c>
      <c r="H12" s="4" t="str">
        <f t="shared" si="2"/>
        <v>7/2/1985</v>
      </c>
      <c r="I12" s="4" t="str">
        <f t="shared" si="3"/>
        <v>Platinum</v>
      </c>
      <c r="J12" s="4" t="str">
        <f t="shared" si="4"/>
        <v>Other</v>
      </c>
    </row>
    <row r="13" ht="14.25" customHeight="1">
      <c r="A13" s="1" t="s">
        <v>1049</v>
      </c>
      <c r="B13" s="1" t="s">
        <v>203</v>
      </c>
      <c r="C13" s="1" t="s">
        <v>6</v>
      </c>
      <c r="D13" s="1" t="s">
        <v>15</v>
      </c>
      <c r="F13" s="1" t="str">
        <f>IFERROR(__xludf.DUMMYFUNCTION("""COMPUTED_VALUE"""),"481921")</f>
        <v>481921</v>
      </c>
      <c r="G13" s="4" t="str">
        <f t="shared" si="1"/>
        <v>07/19/2023</v>
      </c>
      <c r="H13" s="4" t="str">
        <f t="shared" si="2"/>
        <v>5/5/1970</v>
      </c>
      <c r="I13" s="4" t="str">
        <f t="shared" si="3"/>
        <v>Gold</v>
      </c>
      <c r="J13" s="4" t="str">
        <f t="shared" si="4"/>
        <v>Asian</v>
      </c>
    </row>
    <row r="14" ht="14.25" customHeight="1">
      <c r="A14" s="1" t="s">
        <v>1051</v>
      </c>
      <c r="B14" s="1" t="s">
        <v>191</v>
      </c>
      <c r="C14" s="1" t="s">
        <v>7</v>
      </c>
      <c r="D14" s="1" t="s">
        <v>9</v>
      </c>
      <c r="F14" s="1" t="str">
        <f>IFERROR(__xludf.DUMMYFUNCTION("""COMPUTED_VALUE"""),"823045")</f>
        <v>823045</v>
      </c>
      <c r="G14" s="4" t="str">
        <f t="shared" si="1"/>
        <v>07/12/2023</v>
      </c>
      <c r="H14" s="4" t="str">
        <f t="shared" si="2"/>
        <v>1/23/1990</v>
      </c>
      <c r="I14" s="4" t="str">
        <f t="shared" si="3"/>
        <v>Basic</v>
      </c>
      <c r="J14" s="4" t="str">
        <f t="shared" si="4"/>
        <v>Black</v>
      </c>
    </row>
    <row r="15" ht="14.25" customHeight="1">
      <c r="A15" s="1" t="s">
        <v>1051</v>
      </c>
      <c r="B15" s="1" t="s">
        <v>191</v>
      </c>
      <c r="C15" s="1" t="s">
        <v>5</v>
      </c>
      <c r="D15" s="1" t="s">
        <v>1052</v>
      </c>
      <c r="F15" s="1" t="str">
        <f>IFERROR(__xludf.DUMMYFUNCTION("""COMPUTED_VALUE"""),"990258")</f>
        <v>990258</v>
      </c>
      <c r="G15" s="4" t="str">
        <f t="shared" si="1"/>
        <v>07/16/2023</v>
      </c>
      <c r="H15" s="4" t="str">
        <f t="shared" si="2"/>
        <v>12/3/1998</v>
      </c>
      <c r="I15" s="4" t="str">
        <f t="shared" si="3"/>
        <v>Gold</v>
      </c>
      <c r="J15" s="4" t="str">
        <f t="shared" si="4"/>
        <v>Black</v>
      </c>
    </row>
    <row r="16" ht="14.25" customHeight="1">
      <c r="A16" s="1" t="s">
        <v>1051</v>
      </c>
      <c r="B16" s="1" t="s">
        <v>191</v>
      </c>
      <c r="C16" s="1" t="s">
        <v>6</v>
      </c>
      <c r="D16" s="1" t="s">
        <v>11</v>
      </c>
      <c r="F16" s="1" t="str">
        <f>IFERROR(__xludf.DUMMYFUNCTION("""COMPUTED_VALUE"""),"681753")</f>
        <v>681753</v>
      </c>
      <c r="G16" s="4" t="str">
        <f t="shared" si="1"/>
        <v>07/7/2023</v>
      </c>
      <c r="H16" s="4" t="str">
        <f t="shared" si="2"/>
        <v>9/1/2019</v>
      </c>
      <c r="I16" s="4" t="str">
        <f t="shared" si="3"/>
        <v>Basic</v>
      </c>
      <c r="J16" s="4" t="str">
        <f t="shared" si="4"/>
        <v>Black</v>
      </c>
    </row>
    <row r="17" ht="14.25" customHeight="1">
      <c r="A17" s="1" t="s">
        <v>1053</v>
      </c>
      <c r="B17" s="1" t="s">
        <v>398</v>
      </c>
      <c r="C17" s="1" t="s">
        <v>7</v>
      </c>
      <c r="D17" s="1" t="s">
        <v>9</v>
      </c>
      <c r="F17" s="1" t="str">
        <f>IFERROR(__xludf.DUMMYFUNCTION("""COMPUTED_VALUE"""),"465769")</f>
        <v>465769</v>
      </c>
      <c r="G17" s="4" t="str">
        <f t="shared" si="1"/>
        <v>07/14/2023</v>
      </c>
      <c r="H17" s="4" t="str">
        <f t="shared" si="2"/>
        <v>2/10/1979</v>
      </c>
      <c r="I17" s="4" t="str">
        <f t="shared" si="3"/>
        <v>Platinum</v>
      </c>
      <c r="J17" s="4" t="str">
        <f t="shared" si="4"/>
        <v>White</v>
      </c>
    </row>
    <row r="18" ht="14.25" customHeight="1">
      <c r="A18" s="1" t="s">
        <v>1053</v>
      </c>
      <c r="B18" s="1" t="s">
        <v>398</v>
      </c>
      <c r="C18" s="1" t="s">
        <v>5</v>
      </c>
      <c r="D18" s="1" t="s">
        <v>1054</v>
      </c>
      <c r="F18" s="1" t="str">
        <f>IFERROR(__xludf.DUMMYFUNCTION("""COMPUTED_VALUE"""),"890720")</f>
        <v>890720</v>
      </c>
      <c r="G18" s="4" t="str">
        <f t="shared" si="1"/>
        <v>07/7/2023</v>
      </c>
      <c r="H18" s="4" t="str">
        <f t="shared" si="2"/>
        <v>9/20/1967</v>
      </c>
      <c r="I18" s="4" t="str">
        <f t="shared" si="3"/>
        <v>Gold</v>
      </c>
      <c r="J18" s="4" t="str">
        <f t="shared" si="4"/>
        <v>White</v>
      </c>
    </row>
    <row r="19" ht="14.25" customHeight="1">
      <c r="A19" s="1" t="s">
        <v>1053</v>
      </c>
      <c r="B19" s="1" t="s">
        <v>398</v>
      </c>
      <c r="C19" s="1" t="s">
        <v>6</v>
      </c>
      <c r="D19" s="1" t="s">
        <v>15</v>
      </c>
      <c r="F19" s="1" t="str">
        <f>IFERROR(__xludf.DUMMYFUNCTION("""COMPUTED_VALUE"""),"514489")</f>
        <v>514489</v>
      </c>
      <c r="G19" s="4" t="str">
        <f t="shared" si="1"/>
        <v>07/10/2023</v>
      </c>
      <c r="H19" s="4" t="str">
        <f t="shared" si="2"/>
        <v>5/3/2005</v>
      </c>
      <c r="I19" s="4" t="str">
        <f t="shared" si="3"/>
        <v>Basic</v>
      </c>
      <c r="J19" s="4" t="str">
        <f t="shared" si="4"/>
        <v>Black</v>
      </c>
    </row>
    <row r="20" ht="14.25" customHeight="1">
      <c r="A20" s="1" t="s">
        <v>1055</v>
      </c>
      <c r="B20" s="1" t="s">
        <v>236</v>
      </c>
      <c r="C20" s="1" t="s">
        <v>7</v>
      </c>
      <c r="D20" s="1" t="s">
        <v>13</v>
      </c>
      <c r="F20" s="1" t="str">
        <f>IFERROR(__xludf.DUMMYFUNCTION("""COMPUTED_VALUE"""),"964885")</f>
        <v>964885</v>
      </c>
      <c r="G20" s="4" t="str">
        <f t="shared" si="1"/>
        <v>07/31/2023</v>
      </c>
      <c r="H20" s="4" t="str">
        <f t="shared" si="2"/>
        <v>1/5/1990</v>
      </c>
      <c r="I20" s="4" t="str">
        <f t="shared" si="3"/>
        <v>Basic</v>
      </c>
      <c r="J20" s="4" t="str">
        <f t="shared" si="4"/>
        <v>Asian</v>
      </c>
    </row>
    <row r="21" ht="14.25" customHeight="1">
      <c r="A21" s="1" t="s">
        <v>1055</v>
      </c>
      <c r="B21" s="1" t="s">
        <v>236</v>
      </c>
      <c r="C21" s="1" t="s">
        <v>5</v>
      </c>
      <c r="D21" s="1" t="s">
        <v>1056</v>
      </c>
      <c r="F21" s="1" t="str">
        <f>IFERROR(__xludf.DUMMYFUNCTION("""COMPUTED_VALUE"""),"256154")</f>
        <v>256154</v>
      </c>
      <c r="G21" s="4" t="str">
        <f t="shared" si="1"/>
        <v>07/12/2023</v>
      </c>
      <c r="H21" s="4" t="str">
        <f t="shared" si="2"/>
        <v>3/30/1957</v>
      </c>
      <c r="I21" s="4" t="str">
        <f t="shared" si="3"/>
        <v>Gold</v>
      </c>
      <c r="J21" s="4" t="str">
        <f t="shared" si="4"/>
        <v>Asian</v>
      </c>
    </row>
    <row r="22" ht="14.25" customHeight="1">
      <c r="A22" s="1" t="s">
        <v>1055</v>
      </c>
      <c r="B22" s="1" t="s">
        <v>236</v>
      </c>
      <c r="C22" s="1" t="s">
        <v>6</v>
      </c>
      <c r="D22" s="1" t="s">
        <v>21</v>
      </c>
      <c r="F22" s="1" t="str">
        <f>IFERROR(__xludf.DUMMYFUNCTION("""COMPUTED_VALUE"""),"115578")</f>
        <v>115578</v>
      </c>
      <c r="G22" s="4" t="str">
        <f t="shared" si="1"/>
        <v>07/29/2023</v>
      </c>
      <c r="H22" s="4" t="str">
        <f t="shared" si="2"/>
        <v>9/2/1961</v>
      </c>
      <c r="I22" s="4" t="str">
        <f t="shared" si="3"/>
        <v>Gold</v>
      </c>
      <c r="J22" s="4" t="str">
        <f t="shared" si="4"/>
        <v>Black</v>
      </c>
    </row>
    <row r="23" ht="14.25" customHeight="1">
      <c r="A23" s="1" t="s">
        <v>1057</v>
      </c>
      <c r="B23" s="1" t="s">
        <v>188</v>
      </c>
      <c r="C23" s="1" t="s">
        <v>7</v>
      </c>
      <c r="D23" s="1" t="s">
        <v>25</v>
      </c>
      <c r="F23" s="1" t="str">
        <f>IFERROR(__xludf.DUMMYFUNCTION("""COMPUTED_VALUE"""),"111490")</f>
        <v>111490</v>
      </c>
      <c r="G23" s="4" t="str">
        <f t="shared" si="1"/>
        <v>07/2/2023</v>
      </c>
      <c r="H23" s="4" t="str">
        <f t="shared" si="2"/>
        <v>3/1/1946</v>
      </c>
      <c r="I23" s="4" t="str">
        <f t="shared" si="3"/>
        <v>Basic</v>
      </c>
      <c r="J23" s="4" t="str">
        <f t="shared" si="4"/>
        <v>Black</v>
      </c>
    </row>
    <row r="24" ht="14.25" customHeight="1">
      <c r="A24" s="1" t="s">
        <v>1057</v>
      </c>
      <c r="B24" s="1" t="s">
        <v>188</v>
      </c>
      <c r="C24" s="1" t="s">
        <v>5</v>
      </c>
      <c r="D24" s="1" t="s">
        <v>1058</v>
      </c>
      <c r="F24" s="1" t="str">
        <f>IFERROR(__xludf.DUMMYFUNCTION("""COMPUTED_VALUE"""),"344841")</f>
        <v>344841</v>
      </c>
      <c r="G24" s="4" t="str">
        <f t="shared" si="1"/>
        <v>07/30/2023</v>
      </c>
      <c r="H24" s="4" t="str">
        <f t="shared" si="2"/>
        <v>12/9/2002</v>
      </c>
      <c r="I24" s="4" t="str">
        <f t="shared" si="3"/>
        <v>Basic</v>
      </c>
      <c r="J24" s="4" t="str">
        <f t="shared" si="4"/>
        <v>White</v>
      </c>
    </row>
    <row r="25" ht="14.25" customHeight="1">
      <c r="A25" s="1" t="s">
        <v>1057</v>
      </c>
      <c r="B25" s="1" t="s">
        <v>188</v>
      </c>
      <c r="C25" s="1" t="s">
        <v>6</v>
      </c>
      <c r="D25" s="1" t="s">
        <v>11</v>
      </c>
      <c r="F25" s="1" t="str">
        <f>IFERROR(__xludf.DUMMYFUNCTION("""COMPUTED_VALUE"""),"210727")</f>
        <v>210727</v>
      </c>
      <c r="G25" s="4" t="str">
        <f t="shared" si="1"/>
        <v>07/25/2023</v>
      </c>
      <c r="H25" s="4" t="str">
        <f t="shared" si="2"/>
        <v>4/6/1968</v>
      </c>
      <c r="I25" s="4" t="str">
        <f t="shared" si="3"/>
        <v>Platinum</v>
      </c>
      <c r="J25" s="4" t="str">
        <f t="shared" si="4"/>
        <v>White</v>
      </c>
    </row>
    <row r="26" ht="14.25" customHeight="1">
      <c r="A26" s="1" t="s">
        <v>1059</v>
      </c>
      <c r="B26" s="1" t="s">
        <v>249</v>
      </c>
      <c r="C26" s="1" t="s">
        <v>7</v>
      </c>
      <c r="D26" s="1" t="s">
        <v>19</v>
      </c>
      <c r="F26" s="1" t="str">
        <f>IFERROR(__xludf.DUMMYFUNCTION("""COMPUTED_VALUE"""),"466664")</f>
        <v>466664</v>
      </c>
      <c r="G26" s="4" t="str">
        <f t="shared" si="1"/>
        <v>07/16/2023</v>
      </c>
      <c r="H26" s="4" t="str">
        <f t="shared" si="2"/>
        <v>5/14/1981</v>
      </c>
      <c r="I26" s="4" t="str">
        <f t="shared" si="3"/>
        <v>Basic</v>
      </c>
      <c r="J26" s="4" t="str">
        <f t="shared" si="4"/>
        <v>Asian</v>
      </c>
    </row>
    <row r="27" ht="14.25" customHeight="1">
      <c r="A27" s="1" t="s">
        <v>1059</v>
      </c>
      <c r="B27" s="1" t="s">
        <v>249</v>
      </c>
      <c r="C27" s="1" t="s">
        <v>5</v>
      </c>
      <c r="D27" s="1" t="s">
        <v>1060</v>
      </c>
      <c r="F27" s="1" t="str">
        <f>IFERROR(__xludf.DUMMYFUNCTION("""COMPUTED_VALUE"""),"739156")</f>
        <v>739156</v>
      </c>
      <c r="G27" s="4" t="str">
        <f t="shared" si="1"/>
        <v>07/27/2023</v>
      </c>
      <c r="H27" s="4" t="str">
        <f t="shared" si="2"/>
        <v>10/20/1976</v>
      </c>
      <c r="I27" s="4" t="str">
        <f t="shared" si="3"/>
        <v>Platinum</v>
      </c>
      <c r="J27" s="4" t="str">
        <f t="shared" si="4"/>
        <v>White</v>
      </c>
    </row>
    <row r="28" ht="14.25" customHeight="1">
      <c r="A28" s="1" t="s">
        <v>1059</v>
      </c>
      <c r="B28" s="1" t="s">
        <v>249</v>
      </c>
      <c r="C28" s="1" t="s">
        <v>6</v>
      </c>
      <c r="D28" s="1" t="s">
        <v>11</v>
      </c>
      <c r="F28" s="1" t="str">
        <f>IFERROR(__xludf.DUMMYFUNCTION("""COMPUTED_VALUE"""),"192752")</f>
        <v>192752</v>
      </c>
      <c r="G28" s="4" t="str">
        <f t="shared" si="1"/>
        <v>07/12/2023</v>
      </c>
      <c r="H28" s="4" t="str">
        <f t="shared" si="2"/>
        <v>8/29/1981</v>
      </c>
      <c r="I28" s="4" t="str">
        <f t="shared" si="3"/>
        <v>Basic</v>
      </c>
      <c r="J28" s="4" t="str">
        <f t="shared" si="4"/>
        <v>Asian</v>
      </c>
    </row>
    <row r="29" ht="14.25" customHeight="1">
      <c r="A29" s="1" t="s">
        <v>1061</v>
      </c>
      <c r="B29" s="1" t="s">
        <v>191</v>
      </c>
      <c r="C29" s="1" t="s">
        <v>7</v>
      </c>
      <c r="D29" s="1" t="s">
        <v>13</v>
      </c>
      <c r="F29" s="1" t="str">
        <f>IFERROR(__xludf.DUMMYFUNCTION("""COMPUTED_VALUE"""),"656037")</f>
        <v>656037</v>
      </c>
      <c r="G29" s="4" t="str">
        <f t="shared" si="1"/>
        <v>07/11/2023</v>
      </c>
      <c r="H29" s="4" t="str">
        <f t="shared" si="2"/>
        <v>8/17/1961</v>
      </c>
      <c r="I29" s="4" t="str">
        <f t="shared" si="3"/>
        <v>Platinum</v>
      </c>
      <c r="J29" s="4" t="str">
        <f t="shared" si="4"/>
        <v>White</v>
      </c>
    </row>
    <row r="30" ht="14.25" customHeight="1">
      <c r="A30" s="1" t="s">
        <v>1061</v>
      </c>
      <c r="B30" s="1" t="s">
        <v>191</v>
      </c>
      <c r="C30" s="1" t="s">
        <v>5</v>
      </c>
      <c r="D30" s="1" t="s">
        <v>1062</v>
      </c>
      <c r="F30" s="1" t="str">
        <f>IFERROR(__xludf.DUMMYFUNCTION("""COMPUTED_VALUE"""),"316468")</f>
        <v>316468</v>
      </c>
      <c r="G30" s="4" t="str">
        <f t="shared" si="1"/>
        <v>07/23/2023</v>
      </c>
      <c r="H30" s="4" t="str">
        <f t="shared" si="2"/>
        <v>9/22/1963</v>
      </c>
      <c r="I30" s="4" t="str">
        <f t="shared" si="3"/>
        <v>Gold</v>
      </c>
      <c r="J30" s="4" t="str">
        <f t="shared" si="4"/>
        <v>Asian</v>
      </c>
    </row>
    <row r="31" ht="14.25" customHeight="1">
      <c r="A31" s="1" t="s">
        <v>1061</v>
      </c>
      <c r="B31" s="1" t="s">
        <v>191</v>
      </c>
      <c r="C31" s="1" t="s">
        <v>6</v>
      </c>
      <c r="D31" s="1" t="s">
        <v>11</v>
      </c>
      <c r="F31" s="1" t="str">
        <f>IFERROR(__xludf.DUMMYFUNCTION("""COMPUTED_VALUE"""),"788351")</f>
        <v>788351</v>
      </c>
      <c r="G31" s="4" t="str">
        <f t="shared" si="1"/>
        <v>07/14/2023</v>
      </c>
      <c r="H31" s="4" t="str">
        <f t="shared" si="2"/>
        <v>5/7/1985</v>
      </c>
      <c r="I31" s="4" t="str">
        <f t="shared" si="3"/>
        <v>Platinum</v>
      </c>
      <c r="J31" s="4" t="str">
        <f t="shared" si="4"/>
        <v>White</v>
      </c>
    </row>
    <row r="32" ht="14.25" customHeight="1">
      <c r="A32" s="1" t="s">
        <v>1063</v>
      </c>
      <c r="B32" s="1" t="s">
        <v>223</v>
      </c>
      <c r="C32" s="1" t="s">
        <v>7</v>
      </c>
      <c r="D32" s="1" t="s">
        <v>9</v>
      </c>
      <c r="F32" s="1" t="str">
        <f>IFERROR(__xludf.DUMMYFUNCTION("""COMPUTED_VALUE"""),"114484")</f>
        <v>114484</v>
      </c>
      <c r="G32" s="4" t="str">
        <f t="shared" si="1"/>
        <v>07/20/2023</v>
      </c>
      <c r="H32" s="4" t="str">
        <f t="shared" si="2"/>
        <v>1/19/1987</v>
      </c>
      <c r="I32" s="4" t="str">
        <f t="shared" si="3"/>
        <v>Basic</v>
      </c>
      <c r="J32" s="4" t="str">
        <f t="shared" si="4"/>
        <v>Black</v>
      </c>
    </row>
    <row r="33" ht="14.25" customHeight="1">
      <c r="A33" s="1" t="s">
        <v>1063</v>
      </c>
      <c r="B33" s="1" t="s">
        <v>223</v>
      </c>
      <c r="C33" s="1" t="s">
        <v>5</v>
      </c>
      <c r="D33" s="1" t="s">
        <v>1064</v>
      </c>
      <c r="F33" s="1" t="str">
        <f>IFERROR(__xludf.DUMMYFUNCTION("""COMPUTED_VALUE"""),"211683")</f>
        <v>211683</v>
      </c>
      <c r="G33" s="4" t="str">
        <f t="shared" si="1"/>
        <v>07/2/2023</v>
      </c>
      <c r="H33" s="4" t="str">
        <f t="shared" si="2"/>
        <v>9/4/2005</v>
      </c>
      <c r="I33" s="4" t="str">
        <f t="shared" si="3"/>
        <v>Basic</v>
      </c>
      <c r="J33" s="4" t="str">
        <f t="shared" si="4"/>
        <v>Other</v>
      </c>
    </row>
    <row r="34" ht="14.25" customHeight="1">
      <c r="A34" s="1" t="s">
        <v>1063</v>
      </c>
      <c r="B34" s="1" t="s">
        <v>223</v>
      </c>
      <c r="C34" s="1" t="s">
        <v>6</v>
      </c>
      <c r="D34" s="1" t="s">
        <v>11</v>
      </c>
      <c r="F34" s="1" t="str">
        <f>IFERROR(__xludf.DUMMYFUNCTION("""COMPUTED_VALUE"""),"212881")</f>
        <v>212881</v>
      </c>
      <c r="G34" s="4" t="str">
        <f t="shared" si="1"/>
        <v>07/16/2023</v>
      </c>
      <c r="H34" s="4" t="str">
        <f t="shared" si="2"/>
        <v>3/19/2002</v>
      </c>
      <c r="I34" s="4" t="str">
        <f t="shared" si="3"/>
        <v>Platinum</v>
      </c>
      <c r="J34" s="4" t="str">
        <f t="shared" si="4"/>
        <v>Black</v>
      </c>
    </row>
    <row r="35" ht="14.25" customHeight="1">
      <c r="A35" s="1" t="s">
        <v>1065</v>
      </c>
      <c r="B35" s="1" t="s">
        <v>381</v>
      </c>
      <c r="C35" s="1" t="s">
        <v>7</v>
      </c>
      <c r="D35" s="1" t="s">
        <v>19</v>
      </c>
      <c r="F35" s="1" t="str">
        <f>IFERROR(__xludf.DUMMYFUNCTION("""COMPUTED_VALUE"""),"228463")</f>
        <v>228463</v>
      </c>
      <c r="G35" s="4" t="str">
        <f t="shared" si="1"/>
        <v>07/19/2023</v>
      </c>
      <c r="H35" s="4" t="str">
        <f t="shared" si="2"/>
        <v>11/20/2011</v>
      </c>
      <c r="I35" s="4" t="str">
        <f t="shared" si="3"/>
        <v>Gold</v>
      </c>
      <c r="J35" s="4" t="str">
        <f t="shared" si="4"/>
        <v>Other</v>
      </c>
    </row>
    <row r="36" ht="14.25" customHeight="1">
      <c r="A36" s="1" t="s">
        <v>1065</v>
      </c>
      <c r="B36" s="1" t="s">
        <v>381</v>
      </c>
      <c r="C36" s="1" t="s">
        <v>5</v>
      </c>
      <c r="D36" s="1" t="s">
        <v>1066</v>
      </c>
      <c r="F36" s="1" t="str">
        <f>IFERROR(__xludf.DUMMYFUNCTION("""COMPUTED_VALUE"""),"124765")</f>
        <v>124765</v>
      </c>
      <c r="G36" s="4" t="str">
        <f t="shared" si="1"/>
        <v>07/17/2023</v>
      </c>
      <c r="H36" s="4" t="str">
        <f t="shared" si="2"/>
        <v>10/15/1965</v>
      </c>
      <c r="I36" s="4" t="str">
        <f t="shared" si="3"/>
        <v>Basic</v>
      </c>
      <c r="J36" s="4" t="str">
        <f t="shared" si="4"/>
        <v>Black</v>
      </c>
    </row>
    <row r="37" ht="14.25" customHeight="1">
      <c r="A37" s="1" t="s">
        <v>1065</v>
      </c>
      <c r="B37" s="1" t="s">
        <v>381</v>
      </c>
      <c r="C37" s="1" t="s">
        <v>6</v>
      </c>
      <c r="D37" s="1" t="s">
        <v>15</v>
      </c>
      <c r="F37" s="1" t="str">
        <f>IFERROR(__xludf.DUMMYFUNCTION("""COMPUTED_VALUE"""),"879426")</f>
        <v>879426</v>
      </c>
      <c r="G37" s="4" t="str">
        <f t="shared" si="1"/>
        <v>07/31/2023</v>
      </c>
      <c r="H37" s="4" t="str">
        <f t="shared" si="2"/>
        <v>9/28/1996</v>
      </c>
      <c r="I37" s="4" t="str">
        <f t="shared" si="3"/>
        <v>Gold</v>
      </c>
      <c r="J37" s="4" t="str">
        <f t="shared" si="4"/>
        <v>Other</v>
      </c>
    </row>
    <row r="38" ht="14.25" customHeight="1">
      <c r="A38" s="1" t="s">
        <v>1067</v>
      </c>
      <c r="B38" s="1" t="s">
        <v>324</v>
      </c>
      <c r="C38" s="1" t="s">
        <v>7</v>
      </c>
      <c r="D38" s="1" t="s">
        <v>25</v>
      </c>
      <c r="F38" s="1" t="str">
        <f>IFERROR(__xludf.DUMMYFUNCTION("""COMPUTED_VALUE"""),"703312")</f>
        <v>703312</v>
      </c>
      <c r="G38" s="4" t="str">
        <f t="shared" si="1"/>
        <v>07/25/2023</v>
      </c>
      <c r="H38" s="4" t="str">
        <f t="shared" si="2"/>
        <v>12/18/2012</v>
      </c>
      <c r="I38" s="4" t="str">
        <f t="shared" si="3"/>
        <v>Gold</v>
      </c>
      <c r="J38" s="4" t="str">
        <f t="shared" si="4"/>
        <v>Other</v>
      </c>
    </row>
    <row r="39" ht="14.25" customHeight="1">
      <c r="A39" s="1" t="s">
        <v>1067</v>
      </c>
      <c r="B39" s="1" t="s">
        <v>324</v>
      </c>
      <c r="C39" s="1" t="s">
        <v>5</v>
      </c>
      <c r="D39" s="1" t="s">
        <v>1068</v>
      </c>
      <c r="F39" s="1" t="str">
        <f>IFERROR(__xludf.DUMMYFUNCTION("""COMPUTED_VALUE"""),"822881")</f>
        <v>822881</v>
      </c>
      <c r="G39" s="4" t="str">
        <f t="shared" si="1"/>
        <v>07/17/2023</v>
      </c>
      <c r="H39" s="4" t="str">
        <f t="shared" si="2"/>
        <v>3/26/2012</v>
      </c>
      <c r="I39" s="4" t="str">
        <f t="shared" si="3"/>
        <v>Gold</v>
      </c>
      <c r="J39" s="4" t="str">
        <f t="shared" si="4"/>
        <v>Other</v>
      </c>
    </row>
    <row r="40" ht="14.25" customHeight="1">
      <c r="A40" s="1" t="s">
        <v>1067</v>
      </c>
      <c r="B40" s="1" t="s">
        <v>324</v>
      </c>
      <c r="C40" s="1" t="s">
        <v>6</v>
      </c>
      <c r="D40" s="1" t="s">
        <v>21</v>
      </c>
      <c r="F40" s="1" t="str">
        <f>IFERROR(__xludf.DUMMYFUNCTION("""COMPUTED_VALUE"""),"656301")</f>
        <v>656301</v>
      </c>
      <c r="G40" s="4" t="str">
        <f t="shared" si="1"/>
        <v>07/7/2023</v>
      </c>
      <c r="H40" s="4" t="str">
        <f t="shared" si="2"/>
        <v>1/31/1994</v>
      </c>
      <c r="I40" s="4" t="str">
        <f t="shared" si="3"/>
        <v>Gold</v>
      </c>
      <c r="J40" s="4" t="str">
        <f t="shared" si="4"/>
        <v>Asian</v>
      </c>
    </row>
    <row r="41" ht="14.25" customHeight="1">
      <c r="A41" s="1" t="s">
        <v>1069</v>
      </c>
      <c r="B41" s="1" t="s">
        <v>249</v>
      </c>
      <c r="C41" s="1" t="s">
        <v>7</v>
      </c>
      <c r="D41" s="1" t="s">
        <v>25</v>
      </c>
      <c r="F41" s="1" t="str">
        <f>IFERROR(__xludf.DUMMYFUNCTION("""COMPUTED_VALUE"""),"619806")</f>
        <v>619806</v>
      </c>
      <c r="G41" s="4" t="str">
        <f t="shared" si="1"/>
        <v>07/17/2023</v>
      </c>
      <c r="H41" s="4" t="str">
        <f t="shared" si="2"/>
        <v>2/11/1974</v>
      </c>
      <c r="I41" s="4" t="str">
        <f t="shared" si="3"/>
        <v>Platinum</v>
      </c>
      <c r="J41" s="4" t="str">
        <f t="shared" si="4"/>
        <v>Asian</v>
      </c>
    </row>
    <row r="42" ht="14.25" customHeight="1">
      <c r="A42" s="1" t="s">
        <v>1069</v>
      </c>
      <c r="B42" s="1" t="s">
        <v>249</v>
      </c>
      <c r="C42" s="1" t="s">
        <v>5</v>
      </c>
      <c r="D42" s="1" t="s">
        <v>1070</v>
      </c>
      <c r="F42" s="1" t="str">
        <f>IFERROR(__xludf.DUMMYFUNCTION("""COMPUTED_VALUE"""),"489883")</f>
        <v>489883</v>
      </c>
      <c r="G42" s="4" t="str">
        <f t="shared" si="1"/>
        <v>07/26/2023</v>
      </c>
      <c r="H42" s="4" t="str">
        <f t="shared" si="2"/>
        <v>11/21/1972</v>
      </c>
      <c r="I42" s="4" t="str">
        <f t="shared" si="3"/>
        <v>Basic</v>
      </c>
      <c r="J42" s="4" t="str">
        <f t="shared" si="4"/>
        <v>Asian</v>
      </c>
    </row>
    <row r="43" ht="14.25" customHeight="1">
      <c r="A43" s="1" t="s">
        <v>1069</v>
      </c>
      <c r="B43" s="1" t="s">
        <v>249</v>
      </c>
      <c r="C43" s="1" t="s">
        <v>6</v>
      </c>
      <c r="D43" s="1" t="s">
        <v>15</v>
      </c>
      <c r="F43" s="1" t="str">
        <f>IFERROR(__xludf.DUMMYFUNCTION("""COMPUTED_VALUE"""),"158161")</f>
        <v>158161</v>
      </c>
      <c r="G43" s="4" t="str">
        <f t="shared" si="1"/>
        <v>07/9/2023</v>
      </c>
      <c r="H43" s="4" t="str">
        <f t="shared" si="2"/>
        <v>10/15/2014</v>
      </c>
      <c r="I43" s="4" t="str">
        <f t="shared" si="3"/>
        <v>Basic</v>
      </c>
      <c r="J43" s="4" t="str">
        <f t="shared" si="4"/>
        <v>White</v>
      </c>
    </row>
    <row r="44" ht="14.25" customHeight="1">
      <c r="A44" s="1" t="s">
        <v>1071</v>
      </c>
      <c r="B44" s="1" t="s">
        <v>246</v>
      </c>
      <c r="C44" s="1" t="s">
        <v>7</v>
      </c>
      <c r="D44" s="1" t="s">
        <v>25</v>
      </c>
      <c r="F44" s="1" t="str">
        <f>IFERROR(__xludf.DUMMYFUNCTION("""COMPUTED_VALUE"""),"751597")</f>
        <v>751597</v>
      </c>
      <c r="G44" s="4" t="str">
        <f t="shared" si="1"/>
        <v>07/14/2023</v>
      </c>
      <c r="H44" s="4" t="str">
        <f t="shared" si="2"/>
        <v>12/25/1966</v>
      </c>
      <c r="I44" s="4" t="str">
        <f t="shared" si="3"/>
        <v>Basic</v>
      </c>
      <c r="J44" s="4" t="str">
        <f t="shared" si="4"/>
        <v>White</v>
      </c>
    </row>
    <row r="45" ht="14.25" customHeight="1">
      <c r="A45" s="1" t="s">
        <v>1071</v>
      </c>
      <c r="B45" s="1" t="s">
        <v>246</v>
      </c>
      <c r="C45" s="1" t="s">
        <v>5</v>
      </c>
      <c r="D45" s="1" t="s">
        <v>1072</v>
      </c>
      <c r="F45" s="1" t="str">
        <f>IFERROR(__xludf.DUMMYFUNCTION("""COMPUTED_VALUE"""),"766091")</f>
        <v>766091</v>
      </c>
      <c r="G45" s="4" t="str">
        <f t="shared" si="1"/>
        <v>07/3/2023</v>
      </c>
      <c r="H45" s="4" t="str">
        <f t="shared" si="2"/>
        <v>10/24/2013</v>
      </c>
      <c r="I45" s="4" t="str">
        <f t="shared" si="3"/>
        <v>Basic</v>
      </c>
      <c r="J45" s="4" t="str">
        <f t="shared" si="4"/>
        <v>White</v>
      </c>
    </row>
    <row r="46" ht="14.25" customHeight="1">
      <c r="A46" s="1" t="s">
        <v>1071</v>
      </c>
      <c r="B46" s="1" t="s">
        <v>246</v>
      </c>
      <c r="C46" s="1" t="s">
        <v>6</v>
      </c>
      <c r="D46" s="1" t="s">
        <v>21</v>
      </c>
      <c r="F46" s="1" t="str">
        <f>IFERROR(__xludf.DUMMYFUNCTION("""COMPUTED_VALUE"""),"306535")</f>
        <v>306535</v>
      </c>
      <c r="G46" s="4" t="str">
        <f t="shared" si="1"/>
        <v>07/13/2023</v>
      </c>
      <c r="H46" s="4" t="str">
        <f t="shared" si="2"/>
        <v>12/23/1977</v>
      </c>
      <c r="I46" s="4" t="str">
        <f t="shared" si="3"/>
        <v>Basic</v>
      </c>
      <c r="J46" s="4" t="str">
        <f t="shared" si="4"/>
        <v>Asian</v>
      </c>
    </row>
    <row r="47" ht="14.25" customHeight="1">
      <c r="A47" s="1" t="s">
        <v>1073</v>
      </c>
      <c r="B47" s="1" t="s">
        <v>214</v>
      </c>
      <c r="C47" s="1" t="s">
        <v>7</v>
      </c>
      <c r="D47" s="1" t="s">
        <v>13</v>
      </c>
      <c r="F47" s="1" t="str">
        <f>IFERROR(__xludf.DUMMYFUNCTION("""COMPUTED_VALUE"""),"306044")</f>
        <v>306044</v>
      </c>
      <c r="G47" s="4" t="str">
        <f t="shared" si="1"/>
        <v>07/28/2023</v>
      </c>
      <c r="H47" s="4" t="str">
        <f t="shared" si="2"/>
        <v>5/13/1993</v>
      </c>
      <c r="I47" s="4" t="str">
        <f t="shared" si="3"/>
        <v>Platinum</v>
      </c>
      <c r="J47" s="4" t="str">
        <f t="shared" si="4"/>
        <v>Asian</v>
      </c>
    </row>
    <row r="48" ht="14.25" customHeight="1">
      <c r="A48" s="1" t="s">
        <v>1073</v>
      </c>
      <c r="B48" s="1" t="s">
        <v>214</v>
      </c>
      <c r="C48" s="1" t="s">
        <v>5</v>
      </c>
      <c r="D48" s="1" t="s">
        <v>1074</v>
      </c>
      <c r="F48" s="1" t="str">
        <f>IFERROR(__xludf.DUMMYFUNCTION("""COMPUTED_VALUE"""),"792923")</f>
        <v>792923</v>
      </c>
      <c r="G48" s="4" t="str">
        <f t="shared" si="1"/>
        <v>07/25/2023</v>
      </c>
      <c r="H48" s="4" t="str">
        <f t="shared" si="2"/>
        <v>10/16/1958</v>
      </c>
      <c r="I48" s="4" t="str">
        <f t="shared" si="3"/>
        <v>Basic</v>
      </c>
      <c r="J48" s="4" t="str">
        <f t="shared" si="4"/>
        <v>White</v>
      </c>
    </row>
    <row r="49" ht="14.25" customHeight="1">
      <c r="A49" s="1" t="s">
        <v>1073</v>
      </c>
      <c r="B49" s="1" t="s">
        <v>214</v>
      </c>
      <c r="C49" s="1" t="s">
        <v>6</v>
      </c>
      <c r="D49" s="1" t="s">
        <v>11</v>
      </c>
      <c r="F49" s="1" t="str">
        <f>IFERROR(__xludf.DUMMYFUNCTION("""COMPUTED_VALUE"""),"194837")</f>
        <v>194837</v>
      </c>
      <c r="G49" s="4" t="str">
        <f t="shared" si="1"/>
        <v>07/12/2023</v>
      </c>
      <c r="H49" s="4" t="str">
        <f t="shared" si="2"/>
        <v>6/28/1962</v>
      </c>
      <c r="I49" s="4" t="str">
        <f t="shared" si="3"/>
        <v>Platinum</v>
      </c>
      <c r="J49" s="4" t="str">
        <f t="shared" si="4"/>
        <v>Other</v>
      </c>
    </row>
    <row r="50" ht="14.25" customHeight="1">
      <c r="A50" s="1" t="s">
        <v>1075</v>
      </c>
      <c r="B50" s="1" t="s">
        <v>246</v>
      </c>
      <c r="C50" s="1" t="s">
        <v>7</v>
      </c>
      <c r="D50" s="1" t="s">
        <v>13</v>
      </c>
      <c r="F50" s="1" t="str">
        <f>IFERROR(__xludf.DUMMYFUNCTION("""COMPUTED_VALUE"""),"858519")</f>
        <v>858519</v>
      </c>
      <c r="G50" s="4" t="str">
        <f t="shared" si="1"/>
        <v>07/1/2023</v>
      </c>
      <c r="H50" s="4" t="str">
        <f t="shared" si="2"/>
        <v>1/27/2000</v>
      </c>
      <c r="I50" s="4" t="str">
        <f t="shared" si="3"/>
        <v>Gold</v>
      </c>
      <c r="J50" s="4" t="str">
        <f t="shared" si="4"/>
        <v>White</v>
      </c>
    </row>
    <row r="51" ht="14.25" customHeight="1">
      <c r="A51" s="1" t="s">
        <v>1075</v>
      </c>
      <c r="B51" s="1" t="s">
        <v>246</v>
      </c>
      <c r="C51" s="1" t="s">
        <v>5</v>
      </c>
      <c r="D51" s="1" t="s">
        <v>1076</v>
      </c>
      <c r="F51" s="1" t="str">
        <f>IFERROR(__xludf.DUMMYFUNCTION("""COMPUTED_VALUE"""),"854139")</f>
        <v>854139</v>
      </c>
      <c r="G51" s="4" t="str">
        <f t="shared" si="1"/>
        <v>07/19/2023</v>
      </c>
      <c r="H51" s="4" t="str">
        <f t="shared" si="2"/>
        <v>7/12/1978</v>
      </c>
      <c r="I51" s="4" t="str">
        <f t="shared" si="3"/>
        <v>Platinum</v>
      </c>
      <c r="J51" s="4" t="str">
        <f t="shared" si="4"/>
        <v>Other</v>
      </c>
    </row>
    <row r="52" ht="14.25" customHeight="1">
      <c r="A52" s="1" t="s">
        <v>1075</v>
      </c>
      <c r="B52" s="1" t="s">
        <v>246</v>
      </c>
      <c r="C52" s="1" t="s">
        <v>6</v>
      </c>
      <c r="D52" s="1" t="s">
        <v>15</v>
      </c>
      <c r="F52" s="1" t="str">
        <f>IFERROR(__xludf.DUMMYFUNCTION("""COMPUTED_VALUE"""),"591539")</f>
        <v>591539</v>
      </c>
      <c r="G52" s="4" t="str">
        <f t="shared" si="1"/>
        <v>07/26/2023</v>
      </c>
      <c r="H52" s="4" t="str">
        <f t="shared" si="2"/>
        <v>11/7/1986</v>
      </c>
      <c r="I52" s="4" t="str">
        <f t="shared" si="3"/>
        <v>Basic</v>
      </c>
      <c r="J52" s="4" t="str">
        <f t="shared" si="4"/>
        <v>White</v>
      </c>
    </row>
    <row r="53" ht="14.25" customHeight="1">
      <c r="A53" s="1" t="s">
        <v>1077</v>
      </c>
      <c r="B53" s="1" t="s">
        <v>233</v>
      </c>
      <c r="C53" s="1" t="s">
        <v>7</v>
      </c>
      <c r="D53" s="1" t="s">
        <v>25</v>
      </c>
      <c r="F53" s="1" t="str">
        <f>IFERROR(__xludf.DUMMYFUNCTION("""COMPUTED_VALUE"""),"960910")</f>
        <v>960910</v>
      </c>
      <c r="G53" s="4" t="str">
        <f t="shared" si="1"/>
        <v>07/13/2023</v>
      </c>
      <c r="H53" s="4" t="str">
        <f t="shared" si="2"/>
        <v>12/16/1997</v>
      </c>
      <c r="I53" s="4" t="str">
        <f t="shared" si="3"/>
        <v>Basic</v>
      </c>
      <c r="J53" s="4" t="str">
        <f t="shared" si="4"/>
        <v>Black</v>
      </c>
    </row>
    <row r="54" ht="14.25" customHeight="1">
      <c r="A54" s="1" t="s">
        <v>1077</v>
      </c>
      <c r="B54" s="1" t="s">
        <v>233</v>
      </c>
      <c r="C54" s="1" t="s">
        <v>5</v>
      </c>
      <c r="D54" s="1" t="s">
        <v>1078</v>
      </c>
      <c r="F54" s="1" t="str">
        <f>IFERROR(__xludf.DUMMYFUNCTION("""COMPUTED_VALUE"""),"543731")</f>
        <v>543731</v>
      </c>
      <c r="G54" s="4" t="str">
        <f t="shared" si="1"/>
        <v>07/25/2023</v>
      </c>
      <c r="H54" s="4" t="str">
        <f t="shared" si="2"/>
        <v>5/18/1989</v>
      </c>
      <c r="I54" s="4" t="str">
        <f t="shared" si="3"/>
        <v>Gold</v>
      </c>
      <c r="J54" s="4" t="str">
        <f t="shared" si="4"/>
        <v>Asian</v>
      </c>
    </row>
    <row r="55" ht="14.25" customHeight="1">
      <c r="A55" s="1" t="s">
        <v>1077</v>
      </c>
      <c r="B55" s="1" t="s">
        <v>233</v>
      </c>
      <c r="C55" s="1" t="s">
        <v>6</v>
      </c>
      <c r="D55" s="1" t="s">
        <v>21</v>
      </c>
      <c r="F55" s="1" t="str">
        <f>IFERROR(__xludf.DUMMYFUNCTION("""COMPUTED_VALUE"""),"754172")</f>
        <v>754172</v>
      </c>
      <c r="G55" s="4" t="str">
        <f t="shared" si="1"/>
        <v>07/24/2023</v>
      </c>
      <c r="H55" s="4" t="str">
        <f t="shared" si="2"/>
        <v>7/21/2011</v>
      </c>
      <c r="I55" s="4" t="str">
        <f t="shared" si="3"/>
        <v>Basic</v>
      </c>
      <c r="J55" s="4" t="str">
        <f t="shared" si="4"/>
        <v>White</v>
      </c>
    </row>
    <row r="56" ht="14.25" customHeight="1">
      <c r="A56" s="1" t="s">
        <v>1079</v>
      </c>
      <c r="B56" s="1" t="s">
        <v>463</v>
      </c>
      <c r="C56" s="1" t="s">
        <v>7</v>
      </c>
      <c r="D56" s="1" t="s">
        <v>19</v>
      </c>
      <c r="F56" s="1" t="str">
        <f>IFERROR(__xludf.DUMMYFUNCTION("""COMPUTED_VALUE"""),"798734")</f>
        <v>798734</v>
      </c>
      <c r="G56" s="4" t="str">
        <f t="shared" si="1"/>
        <v>07/20/2023</v>
      </c>
      <c r="H56" s="4" t="str">
        <f t="shared" si="2"/>
        <v>11/5/1957</v>
      </c>
      <c r="I56" s="4" t="str">
        <f t="shared" si="3"/>
        <v>Gold</v>
      </c>
      <c r="J56" s="4" t="str">
        <f t="shared" si="4"/>
        <v>Black</v>
      </c>
    </row>
    <row r="57" ht="14.25" customHeight="1">
      <c r="A57" s="1" t="s">
        <v>1079</v>
      </c>
      <c r="B57" s="1" t="s">
        <v>463</v>
      </c>
      <c r="C57" s="1" t="s">
        <v>5</v>
      </c>
      <c r="D57" s="1" t="s">
        <v>1080</v>
      </c>
      <c r="F57" s="1" t="str">
        <f>IFERROR(__xludf.DUMMYFUNCTION("""COMPUTED_VALUE"""),"516450")</f>
        <v>516450</v>
      </c>
      <c r="G57" s="4" t="str">
        <f t="shared" si="1"/>
        <v>07/17/2023</v>
      </c>
      <c r="H57" s="4" t="str">
        <f t="shared" si="2"/>
        <v>1/12/1986</v>
      </c>
      <c r="I57" s="4" t="str">
        <f t="shared" si="3"/>
        <v>Gold</v>
      </c>
      <c r="J57" s="4" t="str">
        <f t="shared" si="4"/>
        <v>Black</v>
      </c>
    </row>
    <row r="58" ht="14.25" customHeight="1">
      <c r="A58" s="1" t="s">
        <v>1079</v>
      </c>
      <c r="B58" s="1" t="s">
        <v>463</v>
      </c>
      <c r="C58" s="1" t="s">
        <v>6</v>
      </c>
      <c r="D58" s="1" t="s">
        <v>21</v>
      </c>
      <c r="F58" s="1" t="str">
        <f>IFERROR(__xludf.DUMMYFUNCTION("""COMPUTED_VALUE"""),"597729")</f>
        <v>597729</v>
      </c>
      <c r="G58" s="4" t="str">
        <f t="shared" si="1"/>
        <v>07/8/2023</v>
      </c>
      <c r="H58" s="4" t="str">
        <f t="shared" si="2"/>
        <v>2/7/1958</v>
      </c>
      <c r="I58" s="4" t="str">
        <f t="shared" si="3"/>
        <v>Basic</v>
      </c>
      <c r="J58" s="4" t="str">
        <f t="shared" si="4"/>
        <v>Other</v>
      </c>
    </row>
    <row r="59" ht="14.25" customHeight="1">
      <c r="A59" s="1" t="s">
        <v>1081</v>
      </c>
      <c r="B59" s="1" t="s">
        <v>324</v>
      </c>
      <c r="C59" s="1" t="s">
        <v>7</v>
      </c>
      <c r="D59" s="1" t="s">
        <v>19</v>
      </c>
      <c r="F59" s="1" t="str">
        <f>IFERROR(__xludf.DUMMYFUNCTION("""COMPUTED_VALUE"""),"428393")</f>
        <v>428393</v>
      </c>
      <c r="G59" s="4" t="str">
        <f t="shared" si="1"/>
        <v>07/14/2023</v>
      </c>
      <c r="H59" s="4" t="str">
        <f t="shared" si="2"/>
        <v>5/12/2008</v>
      </c>
      <c r="I59" s="4" t="str">
        <f t="shared" si="3"/>
        <v>Basic</v>
      </c>
      <c r="J59" s="4" t="str">
        <f t="shared" si="4"/>
        <v>Black</v>
      </c>
    </row>
    <row r="60" ht="14.25" customHeight="1">
      <c r="A60" s="1" t="s">
        <v>1081</v>
      </c>
      <c r="B60" s="1" t="s">
        <v>324</v>
      </c>
      <c r="C60" s="1" t="s">
        <v>5</v>
      </c>
      <c r="D60" s="1" t="s">
        <v>1082</v>
      </c>
      <c r="F60" s="1" t="str">
        <f>IFERROR(__xludf.DUMMYFUNCTION("""COMPUTED_VALUE"""),"572462")</f>
        <v>572462</v>
      </c>
      <c r="G60" s="4" t="str">
        <f t="shared" si="1"/>
        <v>07/29/2023</v>
      </c>
      <c r="H60" s="4" t="str">
        <f t="shared" si="2"/>
        <v>5/29/1965</v>
      </c>
      <c r="I60" s="4" t="str">
        <f t="shared" si="3"/>
        <v>Platinum</v>
      </c>
      <c r="J60" s="4" t="str">
        <f t="shared" si="4"/>
        <v>Black</v>
      </c>
    </row>
    <row r="61" ht="14.25" customHeight="1">
      <c r="A61" s="1" t="s">
        <v>1081</v>
      </c>
      <c r="B61" s="1" t="s">
        <v>324</v>
      </c>
      <c r="C61" s="1" t="s">
        <v>6</v>
      </c>
      <c r="D61" s="1" t="s">
        <v>15</v>
      </c>
      <c r="F61" s="1" t="str">
        <f>IFERROR(__xludf.DUMMYFUNCTION("""COMPUTED_VALUE"""),"914893")</f>
        <v>914893</v>
      </c>
      <c r="G61" s="4" t="str">
        <f t="shared" si="1"/>
        <v>07/18/2023</v>
      </c>
      <c r="H61" s="4" t="str">
        <f t="shared" si="2"/>
        <v>1/3/1969</v>
      </c>
      <c r="I61" s="4" t="str">
        <f t="shared" si="3"/>
        <v>Basic</v>
      </c>
      <c r="J61" s="4" t="str">
        <f t="shared" si="4"/>
        <v>White</v>
      </c>
    </row>
    <row r="62" ht="14.25" customHeight="1">
      <c r="A62" s="1" t="s">
        <v>1083</v>
      </c>
      <c r="B62" s="1" t="s">
        <v>378</v>
      </c>
      <c r="C62" s="1" t="s">
        <v>7</v>
      </c>
      <c r="D62" s="1" t="s">
        <v>25</v>
      </c>
      <c r="F62" s="1" t="str">
        <f>IFERROR(__xludf.DUMMYFUNCTION("""COMPUTED_VALUE"""),"112430")</f>
        <v>112430</v>
      </c>
      <c r="G62" s="4" t="str">
        <f t="shared" si="1"/>
        <v>07/19/2023</v>
      </c>
      <c r="H62" s="4" t="str">
        <f t="shared" si="2"/>
        <v>12/8/1948</v>
      </c>
      <c r="I62" s="4" t="str">
        <f t="shared" si="3"/>
        <v>Basic</v>
      </c>
      <c r="J62" s="4" t="str">
        <f t="shared" si="4"/>
        <v>White</v>
      </c>
    </row>
    <row r="63" ht="14.25" customHeight="1">
      <c r="A63" s="1" t="s">
        <v>1083</v>
      </c>
      <c r="B63" s="1" t="s">
        <v>378</v>
      </c>
      <c r="C63" s="1" t="s">
        <v>5</v>
      </c>
      <c r="D63" s="1" t="s">
        <v>1084</v>
      </c>
      <c r="F63" s="1" t="str">
        <f>IFERROR(__xludf.DUMMYFUNCTION("""COMPUTED_VALUE"""),"220423")</f>
        <v>220423</v>
      </c>
      <c r="G63" s="4" t="str">
        <f t="shared" si="1"/>
        <v>07/4/2023</v>
      </c>
      <c r="H63" s="4" t="str">
        <f t="shared" si="2"/>
        <v>5/23/1940</v>
      </c>
      <c r="I63" s="4" t="str">
        <f t="shared" si="3"/>
        <v>Platinum</v>
      </c>
      <c r="J63" s="4" t="str">
        <f t="shared" si="4"/>
        <v>Other</v>
      </c>
    </row>
    <row r="64" ht="14.25" customHeight="1">
      <c r="A64" s="1" t="s">
        <v>1083</v>
      </c>
      <c r="B64" s="1" t="s">
        <v>378</v>
      </c>
      <c r="C64" s="1" t="s">
        <v>6</v>
      </c>
      <c r="D64" s="1" t="s">
        <v>15</v>
      </c>
      <c r="F64" s="1" t="str">
        <f>IFERROR(__xludf.DUMMYFUNCTION("""COMPUTED_VALUE"""),"415942")</f>
        <v>415942</v>
      </c>
      <c r="G64" s="4" t="str">
        <f t="shared" si="1"/>
        <v>07/22/2023</v>
      </c>
      <c r="H64" s="4" t="str">
        <f t="shared" si="2"/>
        <v>9/16/1947</v>
      </c>
      <c r="I64" s="4" t="str">
        <f t="shared" si="3"/>
        <v>Basic</v>
      </c>
      <c r="J64" s="4" t="str">
        <f t="shared" si="4"/>
        <v>Asian</v>
      </c>
    </row>
    <row r="65" ht="14.25" customHeight="1">
      <c r="A65" s="1" t="s">
        <v>1085</v>
      </c>
      <c r="B65" s="1" t="s">
        <v>236</v>
      </c>
      <c r="C65" s="1" t="s">
        <v>7</v>
      </c>
      <c r="D65" s="1" t="s">
        <v>25</v>
      </c>
      <c r="F65" s="1" t="str">
        <f>IFERROR(__xludf.DUMMYFUNCTION("""COMPUTED_VALUE"""),"993957")</f>
        <v>993957</v>
      </c>
      <c r="G65" s="4" t="str">
        <f t="shared" si="1"/>
        <v>07/17/2023</v>
      </c>
      <c r="H65" s="4" t="str">
        <f t="shared" si="2"/>
        <v>3/7/1944</v>
      </c>
      <c r="I65" s="4" t="str">
        <f t="shared" si="3"/>
        <v>Platinum</v>
      </c>
      <c r="J65" s="4" t="str">
        <f t="shared" si="4"/>
        <v>Asian</v>
      </c>
    </row>
    <row r="66" ht="14.25" customHeight="1">
      <c r="A66" s="1" t="s">
        <v>1085</v>
      </c>
      <c r="B66" s="1" t="s">
        <v>236</v>
      </c>
      <c r="C66" s="1" t="s">
        <v>5</v>
      </c>
      <c r="D66" s="1" t="s">
        <v>1086</v>
      </c>
      <c r="F66" s="1" t="str">
        <f>IFERROR(__xludf.DUMMYFUNCTION("""COMPUTED_VALUE"""),"759212")</f>
        <v>759212</v>
      </c>
      <c r="G66" s="4" t="str">
        <f t="shared" si="1"/>
        <v>07/29/2023</v>
      </c>
      <c r="H66" s="4" t="str">
        <f t="shared" si="2"/>
        <v>10/6/2017</v>
      </c>
      <c r="I66" s="4" t="str">
        <f t="shared" si="3"/>
        <v>Platinum</v>
      </c>
      <c r="J66" s="4" t="str">
        <f t="shared" si="4"/>
        <v>White</v>
      </c>
    </row>
    <row r="67" ht="14.25" customHeight="1">
      <c r="A67" s="1" t="s">
        <v>1085</v>
      </c>
      <c r="B67" s="1" t="s">
        <v>236</v>
      </c>
      <c r="C67" s="1" t="s">
        <v>6</v>
      </c>
      <c r="D67" s="1" t="s">
        <v>21</v>
      </c>
      <c r="F67" s="1" t="str">
        <f>IFERROR(__xludf.DUMMYFUNCTION("""COMPUTED_VALUE"""),"783242")</f>
        <v>783242</v>
      </c>
      <c r="G67" s="4" t="str">
        <f t="shared" si="1"/>
        <v>07/18/2023</v>
      </c>
      <c r="H67" s="4" t="str">
        <f t="shared" si="2"/>
        <v>2/12/1952</v>
      </c>
      <c r="I67" s="4" t="str">
        <f t="shared" si="3"/>
        <v>Basic</v>
      </c>
      <c r="J67" s="4" t="str">
        <f t="shared" si="4"/>
        <v>Other</v>
      </c>
    </row>
    <row r="68" ht="14.25" customHeight="1">
      <c r="A68" s="1" t="s">
        <v>1087</v>
      </c>
      <c r="B68" s="1" t="s">
        <v>472</v>
      </c>
      <c r="C68" s="1" t="s">
        <v>7</v>
      </c>
      <c r="D68" s="1" t="s">
        <v>13</v>
      </c>
      <c r="F68" s="1" t="str">
        <f>IFERROR(__xludf.DUMMYFUNCTION("""COMPUTED_VALUE"""),"751067")</f>
        <v>751067</v>
      </c>
      <c r="G68" s="4" t="str">
        <f t="shared" si="1"/>
        <v>07/20/2023</v>
      </c>
      <c r="H68" s="4" t="str">
        <f t="shared" si="2"/>
        <v>9/6/2000</v>
      </c>
      <c r="I68" s="4" t="str">
        <f t="shared" si="3"/>
        <v>Platinum</v>
      </c>
      <c r="J68" s="4" t="str">
        <f t="shared" si="4"/>
        <v>Black</v>
      </c>
    </row>
    <row r="69" ht="14.25" customHeight="1">
      <c r="A69" s="1" t="s">
        <v>1087</v>
      </c>
      <c r="B69" s="1" t="s">
        <v>472</v>
      </c>
      <c r="C69" s="1" t="s">
        <v>5</v>
      </c>
      <c r="D69" s="1" t="s">
        <v>1088</v>
      </c>
      <c r="F69" s="1" t="str">
        <f>IFERROR(__xludf.DUMMYFUNCTION("""COMPUTED_VALUE"""),"242782")</f>
        <v>242782</v>
      </c>
      <c r="G69" s="4" t="str">
        <f t="shared" si="1"/>
        <v>07/3/2023</v>
      </c>
      <c r="H69" s="4" t="str">
        <f t="shared" si="2"/>
        <v>11/4/1942</v>
      </c>
      <c r="I69" s="4" t="str">
        <f t="shared" si="3"/>
        <v>Platinum</v>
      </c>
      <c r="J69" s="4" t="str">
        <f t="shared" si="4"/>
        <v>Other</v>
      </c>
    </row>
    <row r="70" ht="14.25" customHeight="1">
      <c r="A70" s="1" t="s">
        <v>1087</v>
      </c>
      <c r="B70" s="1" t="s">
        <v>472</v>
      </c>
      <c r="C70" s="1" t="s">
        <v>6</v>
      </c>
      <c r="D70" s="1" t="s">
        <v>21</v>
      </c>
      <c r="F70" s="1" t="str">
        <f>IFERROR(__xludf.DUMMYFUNCTION("""COMPUTED_VALUE"""),"563716")</f>
        <v>563716</v>
      </c>
      <c r="G70" s="4" t="str">
        <f t="shared" si="1"/>
        <v>07/11/2023</v>
      </c>
      <c r="H70" s="4" t="str">
        <f t="shared" si="2"/>
        <v>2/3/1989</v>
      </c>
      <c r="I70" s="4" t="str">
        <f t="shared" si="3"/>
        <v>Platinum</v>
      </c>
      <c r="J70" s="4" t="str">
        <f t="shared" si="4"/>
        <v>Asian</v>
      </c>
    </row>
    <row r="71" ht="14.25" customHeight="1">
      <c r="A71" s="1" t="s">
        <v>1089</v>
      </c>
      <c r="B71" s="1" t="s">
        <v>208</v>
      </c>
      <c r="C71" s="1" t="s">
        <v>7</v>
      </c>
      <c r="D71" s="1" t="s">
        <v>13</v>
      </c>
      <c r="F71" s="1" t="str">
        <f>IFERROR(__xludf.DUMMYFUNCTION("""COMPUTED_VALUE"""),"217393")</f>
        <v>217393</v>
      </c>
      <c r="G71" s="4" t="str">
        <f t="shared" si="1"/>
        <v>07/24/2023</v>
      </c>
      <c r="H71" s="4" t="str">
        <f t="shared" si="2"/>
        <v>10/29/1947</v>
      </c>
      <c r="I71" s="4" t="str">
        <f t="shared" si="3"/>
        <v>Platinum</v>
      </c>
      <c r="J71" s="4" t="str">
        <f t="shared" si="4"/>
        <v>Asian</v>
      </c>
    </row>
    <row r="72" ht="14.25" customHeight="1">
      <c r="A72" s="1" t="s">
        <v>1089</v>
      </c>
      <c r="B72" s="1" t="s">
        <v>208</v>
      </c>
      <c r="C72" s="1" t="s">
        <v>5</v>
      </c>
      <c r="D72" s="1" t="s">
        <v>1090</v>
      </c>
      <c r="F72" s="1" t="str">
        <f>IFERROR(__xludf.DUMMYFUNCTION("""COMPUTED_VALUE"""),"760048")</f>
        <v>760048</v>
      </c>
      <c r="G72" s="4" t="str">
        <f t="shared" si="1"/>
        <v>07/17/2023</v>
      </c>
      <c r="H72" s="4" t="str">
        <f t="shared" si="2"/>
        <v>4/17/2011</v>
      </c>
      <c r="I72" s="4" t="str">
        <f t="shared" si="3"/>
        <v>Basic</v>
      </c>
      <c r="J72" s="4" t="str">
        <f t="shared" si="4"/>
        <v>Black</v>
      </c>
    </row>
    <row r="73" ht="14.25" customHeight="1">
      <c r="A73" s="1" t="s">
        <v>1089</v>
      </c>
      <c r="B73" s="1" t="s">
        <v>208</v>
      </c>
      <c r="C73" s="1" t="s">
        <v>6</v>
      </c>
      <c r="D73" s="1" t="s">
        <v>11</v>
      </c>
      <c r="F73" s="1" t="str">
        <f>IFERROR(__xludf.DUMMYFUNCTION("""COMPUTED_VALUE"""),"142608")</f>
        <v>142608</v>
      </c>
      <c r="G73" s="4" t="str">
        <f t="shared" si="1"/>
        <v>07/21/2023</v>
      </c>
      <c r="H73" s="4" t="str">
        <f t="shared" si="2"/>
        <v>8/16/1994</v>
      </c>
      <c r="I73" s="4" t="str">
        <f t="shared" si="3"/>
        <v>Gold</v>
      </c>
      <c r="J73" s="4" t="str">
        <f t="shared" si="4"/>
        <v>Black</v>
      </c>
    </row>
    <row r="74" ht="14.25" customHeight="1">
      <c r="A74" s="1" t="s">
        <v>1091</v>
      </c>
      <c r="B74" s="1" t="s">
        <v>249</v>
      </c>
      <c r="C74" s="1" t="s">
        <v>7</v>
      </c>
      <c r="D74" s="1" t="s">
        <v>19</v>
      </c>
      <c r="F74" s="1"/>
    </row>
    <row r="75" ht="14.25" customHeight="1">
      <c r="A75" s="1" t="s">
        <v>1091</v>
      </c>
      <c r="B75" s="1" t="s">
        <v>249</v>
      </c>
      <c r="C75" s="1" t="s">
        <v>5</v>
      </c>
      <c r="D75" s="1" t="s">
        <v>1092</v>
      </c>
    </row>
    <row r="76" ht="14.25" customHeight="1">
      <c r="A76" s="1" t="s">
        <v>1091</v>
      </c>
      <c r="B76" s="1" t="s">
        <v>249</v>
      </c>
      <c r="C76" s="1" t="s">
        <v>6</v>
      </c>
      <c r="D76" s="1" t="s">
        <v>21</v>
      </c>
    </row>
    <row r="77" ht="14.25" customHeight="1">
      <c r="A77" s="1" t="s">
        <v>1093</v>
      </c>
      <c r="B77" s="1" t="s">
        <v>203</v>
      </c>
      <c r="C77" s="1" t="s">
        <v>7</v>
      </c>
      <c r="D77" s="1" t="s">
        <v>13</v>
      </c>
    </row>
    <row r="78" ht="14.25" customHeight="1">
      <c r="A78" s="1" t="s">
        <v>1093</v>
      </c>
      <c r="B78" s="1" t="s">
        <v>203</v>
      </c>
      <c r="C78" s="1" t="s">
        <v>5</v>
      </c>
      <c r="D78" s="1" t="s">
        <v>1094</v>
      </c>
    </row>
    <row r="79" ht="14.25" customHeight="1">
      <c r="A79" s="1" t="s">
        <v>1093</v>
      </c>
      <c r="B79" s="1" t="s">
        <v>203</v>
      </c>
      <c r="C79" s="1" t="s">
        <v>6</v>
      </c>
      <c r="D79" s="1" t="s">
        <v>11</v>
      </c>
    </row>
    <row r="80" ht="14.25" customHeight="1">
      <c r="A80" s="1" t="s">
        <v>1095</v>
      </c>
      <c r="B80" s="1" t="s">
        <v>324</v>
      </c>
      <c r="C80" s="1" t="s">
        <v>7</v>
      </c>
      <c r="D80" s="1" t="s">
        <v>19</v>
      </c>
    </row>
    <row r="81" ht="14.25" customHeight="1">
      <c r="A81" s="1" t="s">
        <v>1095</v>
      </c>
      <c r="B81" s="1" t="s">
        <v>324</v>
      </c>
      <c r="C81" s="1" t="s">
        <v>5</v>
      </c>
      <c r="D81" s="1" t="s">
        <v>1096</v>
      </c>
    </row>
    <row r="82" ht="14.25" customHeight="1">
      <c r="A82" s="1" t="s">
        <v>1095</v>
      </c>
      <c r="B82" s="1" t="s">
        <v>324</v>
      </c>
      <c r="C82" s="1" t="s">
        <v>6</v>
      </c>
      <c r="D82" s="1" t="s">
        <v>21</v>
      </c>
    </row>
    <row r="83" ht="14.25" customHeight="1">
      <c r="A83" s="1" t="s">
        <v>1097</v>
      </c>
      <c r="B83" s="1" t="s">
        <v>317</v>
      </c>
      <c r="C83" s="1" t="s">
        <v>7</v>
      </c>
      <c r="D83" s="1" t="s">
        <v>13</v>
      </c>
    </row>
    <row r="84" ht="14.25" customHeight="1">
      <c r="A84" s="1" t="s">
        <v>1097</v>
      </c>
      <c r="B84" s="1" t="s">
        <v>317</v>
      </c>
      <c r="C84" s="1" t="s">
        <v>5</v>
      </c>
      <c r="D84" s="1" t="s">
        <v>1098</v>
      </c>
    </row>
    <row r="85" ht="14.25" customHeight="1">
      <c r="A85" s="1" t="s">
        <v>1097</v>
      </c>
      <c r="B85" s="1" t="s">
        <v>317</v>
      </c>
      <c r="C85" s="1" t="s">
        <v>6</v>
      </c>
      <c r="D85" s="1" t="s">
        <v>11</v>
      </c>
    </row>
    <row r="86" ht="14.25" customHeight="1">
      <c r="A86" s="1" t="s">
        <v>1099</v>
      </c>
      <c r="B86" s="1" t="s">
        <v>307</v>
      </c>
      <c r="C86" s="1" t="s">
        <v>7</v>
      </c>
      <c r="D86" s="1" t="s">
        <v>19</v>
      </c>
    </row>
    <row r="87" ht="14.25" customHeight="1">
      <c r="A87" s="1" t="s">
        <v>1099</v>
      </c>
      <c r="B87" s="1" t="s">
        <v>307</v>
      </c>
      <c r="C87" s="1" t="s">
        <v>5</v>
      </c>
      <c r="D87" s="1" t="s">
        <v>1100</v>
      </c>
    </row>
    <row r="88" ht="14.25" customHeight="1">
      <c r="A88" s="1" t="s">
        <v>1099</v>
      </c>
      <c r="B88" s="1" t="s">
        <v>307</v>
      </c>
      <c r="C88" s="1" t="s">
        <v>6</v>
      </c>
      <c r="D88" s="1" t="s">
        <v>15</v>
      </c>
    </row>
    <row r="89" ht="14.25" customHeight="1">
      <c r="A89" s="1" t="s">
        <v>1101</v>
      </c>
      <c r="B89" s="1" t="s">
        <v>214</v>
      </c>
      <c r="C89" s="1" t="s">
        <v>7</v>
      </c>
      <c r="D89" s="1" t="s">
        <v>13</v>
      </c>
    </row>
    <row r="90" ht="14.25" customHeight="1">
      <c r="A90" s="1" t="s">
        <v>1101</v>
      </c>
      <c r="B90" s="1" t="s">
        <v>214</v>
      </c>
      <c r="C90" s="1" t="s">
        <v>5</v>
      </c>
      <c r="D90" s="1" t="s">
        <v>1102</v>
      </c>
    </row>
    <row r="91" ht="14.25" customHeight="1">
      <c r="A91" s="1" t="s">
        <v>1101</v>
      </c>
      <c r="B91" s="1" t="s">
        <v>214</v>
      </c>
      <c r="C91" s="1" t="s">
        <v>6</v>
      </c>
      <c r="D91" s="1" t="s">
        <v>11</v>
      </c>
    </row>
    <row r="92" ht="14.25" customHeight="1">
      <c r="A92" s="1" t="s">
        <v>1103</v>
      </c>
      <c r="B92" s="1" t="s">
        <v>182</v>
      </c>
      <c r="C92" s="1" t="s">
        <v>7</v>
      </c>
      <c r="D92" s="1" t="s">
        <v>25</v>
      </c>
    </row>
    <row r="93" ht="14.25" customHeight="1">
      <c r="A93" s="1" t="s">
        <v>1103</v>
      </c>
      <c r="B93" s="1" t="s">
        <v>182</v>
      </c>
      <c r="C93" s="1" t="s">
        <v>5</v>
      </c>
      <c r="D93" s="1" t="s">
        <v>1104</v>
      </c>
    </row>
    <row r="94" ht="14.25" customHeight="1">
      <c r="A94" s="1" t="s">
        <v>1103</v>
      </c>
      <c r="B94" s="1" t="s">
        <v>182</v>
      </c>
      <c r="C94" s="1" t="s">
        <v>6</v>
      </c>
      <c r="D94" s="1" t="s">
        <v>21</v>
      </c>
    </row>
    <row r="95" ht="14.25" customHeight="1">
      <c r="A95" s="1" t="s">
        <v>1105</v>
      </c>
      <c r="B95" s="1" t="s">
        <v>236</v>
      </c>
      <c r="C95" s="1" t="s">
        <v>7</v>
      </c>
      <c r="D95" s="1" t="s">
        <v>9</v>
      </c>
    </row>
    <row r="96" ht="14.25" customHeight="1">
      <c r="A96" s="1" t="s">
        <v>1105</v>
      </c>
      <c r="B96" s="1" t="s">
        <v>236</v>
      </c>
      <c r="C96" s="1" t="s">
        <v>5</v>
      </c>
      <c r="D96" s="1" t="s">
        <v>1106</v>
      </c>
    </row>
    <row r="97" ht="14.25" customHeight="1">
      <c r="A97" s="1" t="s">
        <v>1105</v>
      </c>
      <c r="B97" s="1" t="s">
        <v>236</v>
      </c>
      <c r="C97" s="1" t="s">
        <v>6</v>
      </c>
      <c r="D97" s="1" t="s">
        <v>21</v>
      </c>
    </row>
    <row r="98" ht="14.25" customHeight="1">
      <c r="A98" s="1" t="s">
        <v>1107</v>
      </c>
      <c r="B98" s="1" t="s">
        <v>249</v>
      </c>
      <c r="C98" s="1" t="s">
        <v>7</v>
      </c>
      <c r="D98" s="1" t="s">
        <v>25</v>
      </c>
    </row>
    <row r="99" ht="14.25" customHeight="1">
      <c r="A99" s="1" t="s">
        <v>1107</v>
      </c>
      <c r="B99" s="1" t="s">
        <v>249</v>
      </c>
      <c r="C99" s="1" t="s">
        <v>5</v>
      </c>
      <c r="D99" s="1" t="s">
        <v>1108</v>
      </c>
    </row>
    <row r="100" ht="14.25" customHeight="1">
      <c r="A100" s="1" t="s">
        <v>1107</v>
      </c>
      <c r="B100" s="1" t="s">
        <v>249</v>
      </c>
      <c r="C100" s="1" t="s">
        <v>6</v>
      </c>
      <c r="D100" s="1" t="s">
        <v>11</v>
      </c>
    </row>
    <row r="101" ht="14.25" customHeight="1">
      <c r="A101" s="1" t="s">
        <v>1109</v>
      </c>
      <c r="B101" s="1" t="s">
        <v>381</v>
      </c>
      <c r="C101" s="1" t="s">
        <v>7</v>
      </c>
      <c r="D101" s="1" t="s">
        <v>9</v>
      </c>
    </row>
    <row r="102" ht="14.25" customHeight="1">
      <c r="A102" s="1" t="s">
        <v>1109</v>
      </c>
      <c r="B102" s="1" t="s">
        <v>381</v>
      </c>
      <c r="C102" s="1" t="s">
        <v>5</v>
      </c>
      <c r="D102" s="1" t="s">
        <v>1110</v>
      </c>
    </row>
    <row r="103" ht="14.25" customHeight="1">
      <c r="A103" s="1" t="s">
        <v>1109</v>
      </c>
      <c r="B103" s="1" t="s">
        <v>381</v>
      </c>
      <c r="C103" s="1" t="s">
        <v>6</v>
      </c>
      <c r="D103" s="1" t="s">
        <v>15</v>
      </c>
    </row>
    <row r="104" ht="14.25" customHeight="1">
      <c r="A104" s="1" t="s">
        <v>1111</v>
      </c>
      <c r="B104" s="1" t="s">
        <v>223</v>
      </c>
      <c r="C104" s="1" t="s">
        <v>7</v>
      </c>
      <c r="D104" s="1" t="s">
        <v>25</v>
      </c>
    </row>
    <row r="105" ht="14.25" customHeight="1">
      <c r="A105" s="1" t="s">
        <v>1111</v>
      </c>
      <c r="B105" s="1" t="s">
        <v>223</v>
      </c>
      <c r="C105" s="1" t="s">
        <v>5</v>
      </c>
      <c r="D105" s="1" t="s">
        <v>1112</v>
      </c>
    </row>
    <row r="106" ht="14.25" customHeight="1">
      <c r="A106" s="1" t="s">
        <v>1111</v>
      </c>
      <c r="B106" s="1" t="s">
        <v>223</v>
      </c>
      <c r="C106" s="1" t="s">
        <v>6</v>
      </c>
      <c r="D106" s="1" t="s">
        <v>21</v>
      </c>
    </row>
    <row r="107" ht="14.25" customHeight="1">
      <c r="A107" s="1" t="s">
        <v>1113</v>
      </c>
      <c r="B107" s="1" t="s">
        <v>463</v>
      </c>
      <c r="C107" s="1" t="s">
        <v>7</v>
      </c>
      <c r="D107" s="1" t="s">
        <v>9</v>
      </c>
    </row>
    <row r="108" ht="14.25" customHeight="1">
      <c r="A108" s="1" t="s">
        <v>1113</v>
      </c>
      <c r="B108" s="1" t="s">
        <v>463</v>
      </c>
      <c r="C108" s="1" t="s">
        <v>5</v>
      </c>
      <c r="D108" s="1" t="s">
        <v>1114</v>
      </c>
    </row>
    <row r="109" ht="14.25" customHeight="1">
      <c r="A109" s="1" t="s">
        <v>1113</v>
      </c>
      <c r="B109" s="1" t="s">
        <v>463</v>
      </c>
      <c r="C109" s="1" t="s">
        <v>6</v>
      </c>
      <c r="D109" s="1" t="s">
        <v>15</v>
      </c>
    </row>
    <row r="110" ht="14.25" customHeight="1">
      <c r="A110" s="1" t="s">
        <v>1115</v>
      </c>
      <c r="B110" s="1" t="s">
        <v>208</v>
      </c>
      <c r="C110" s="1" t="s">
        <v>7</v>
      </c>
      <c r="D110" s="1" t="s">
        <v>9</v>
      </c>
    </row>
    <row r="111" ht="14.25" customHeight="1">
      <c r="A111" s="1" t="s">
        <v>1115</v>
      </c>
      <c r="B111" s="1" t="s">
        <v>208</v>
      </c>
      <c r="C111" s="1" t="s">
        <v>5</v>
      </c>
      <c r="D111" s="1" t="s">
        <v>278</v>
      </c>
    </row>
    <row r="112" ht="14.25" customHeight="1">
      <c r="A112" s="1" t="s">
        <v>1115</v>
      </c>
      <c r="B112" s="1" t="s">
        <v>208</v>
      </c>
      <c r="C112" s="1" t="s">
        <v>6</v>
      </c>
      <c r="D112" s="1" t="s">
        <v>15</v>
      </c>
    </row>
    <row r="113" ht="14.25" customHeight="1">
      <c r="A113" s="1" t="s">
        <v>1116</v>
      </c>
      <c r="B113" s="1" t="s">
        <v>223</v>
      </c>
      <c r="C113" s="1" t="s">
        <v>7</v>
      </c>
      <c r="D113" s="1" t="s">
        <v>9</v>
      </c>
    </row>
    <row r="114" ht="14.25" customHeight="1">
      <c r="A114" s="1" t="s">
        <v>1116</v>
      </c>
      <c r="B114" s="1" t="s">
        <v>223</v>
      </c>
      <c r="C114" s="1" t="s">
        <v>5</v>
      </c>
      <c r="D114" s="1" t="s">
        <v>1117</v>
      </c>
    </row>
    <row r="115" ht="14.25" customHeight="1">
      <c r="A115" s="1" t="s">
        <v>1116</v>
      </c>
      <c r="B115" s="1" t="s">
        <v>223</v>
      </c>
      <c r="C115" s="1" t="s">
        <v>6</v>
      </c>
      <c r="D115" s="1" t="s">
        <v>15</v>
      </c>
    </row>
    <row r="116" ht="14.25" customHeight="1">
      <c r="A116" s="1" t="s">
        <v>1118</v>
      </c>
      <c r="B116" s="1" t="s">
        <v>246</v>
      </c>
      <c r="C116" s="1" t="s">
        <v>7</v>
      </c>
      <c r="D116" s="1" t="s">
        <v>19</v>
      </c>
    </row>
    <row r="117" ht="14.25" customHeight="1">
      <c r="A117" s="1" t="s">
        <v>1118</v>
      </c>
      <c r="B117" s="1" t="s">
        <v>246</v>
      </c>
      <c r="C117" s="1" t="s">
        <v>5</v>
      </c>
      <c r="D117" s="1" t="s">
        <v>1119</v>
      </c>
    </row>
    <row r="118" ht="14.25" customHeight="1">
      <c r="A118" s="1" t="s">
        <v>1118</v>
      </c>
      <c r="B118" s="1" t="s">
        <v>246</v>
      </c>
      <c r="C118" s="1" t="s">
        <v>6</v>
      </c>
      <c r="D118" s="1" t="s">
        <v>15</v>
      </c>
    </row>
    <row r="119" ht="14.25" customHeight="1">
      <c r="A119" s="1" t="s">
        <v>1120</v>
      </c>
      <c r="B119" s="1" t="s">
        <v>223</v>
      </c>
      <c r="C119" s="1" t="s">
        <v>7</v>
      </c>
      <c r="D119" s="1" t="s">
        <v>19</v>
      </c>
    </row>
    <row r="120" ht="14.25" customHeight="1">
      <c r="A120" s="1" t="s">
        <v>1120</v>
      </c>
      <c r="B120" s="1" t="s">
        <v>223</v>
      </c>
      <c r="C120" s="1" t="s">
        <v>5</v>
      </c>
      <c r="D120" s="1" t="s">
        <v>1121</v>
      </c>
    </row>
    <row r="121" ht="14.25" customHeight="1">
      <c r="A121" s="1" t="s">
        <v>1120</v>
      </c>
      <c r="B121" s="1" t="s">
        <v>223</v>
      </c>
      <c r="C121" s="1" t="s">
        <v>6</v>
      </c>
      <c r="D121" s="1" t="s">
        <v>11</v>
      </c>
    </row>
    <row r="122" ht="14.25" customHeight="1">
      <c r="A122" s="1" t="s">
        <v>1122</v>
      </c>
      <c r="B122" s="1" t="s">
        <v>230</v>
      </c>
      <c r="C122" s="1" t="s">
        <v>7</v>
      </c>
      <c r="D122" s="1" t="s">
        <v>19</v>
      </c>
    </row>
    <row r="123" ht="14.25" customHeight="1">
      <c r="A123" s="1" t="s">
        <v>1122</v>
      </c>
      <c r="B123" s="1" t="s">
        <v>230</v>
      </c>
      <c r="C123" s="1" t="s">
        <v>5</v>
      </c>
      <c r="D123" s="1" t="s">
        <v>1123</v>
      </c>
    </row>
    <row r="124" ht="14.25" customHeight="1">
      <c r="A124" s="1" t="s">
        <v>1122</v>
      </c>
      <c r="B124" s="1" t="s">
        <v>230</v>
      </c>
      <c r="C124" s="1" t="s">
        <v>6</v>
      </c>
      <c r="D124" s="1" t="s">
        <v>21</v>
      </c>
    </row>
    <row r="125" ht="14.25" customHeight="1">
      <c r="A125" s="1" t="s">
        <v>1124</v>
      </c>
      <c r="B125" s="1" t="s">
        <v>197</v>
      </c>
      <c r="C125" s="1" t="s">
        <v>7</v>
      </c>
      <c r="D125" s="1" t="s">
        <v>13</v>
      </c>
    </row>
    <row r="126" ht="14.25" customHeight="1">
      <c r="A126" s="1" t="s">
        <v>1124</v>
      </c>
      <c r="B126" s="1" t="s">
        <v>197</v>
      </c>
      <c r="C126" s="1" t="s">
        <v>5</v>
      </c>
      <c r="D126" s="1" t="s">
        <v>1125</v>
      </c>
    </row>
    <row r="127" ht="14.25" customHeight="1">
      <c r="A127" s="1" t="s">
        <v>1124</v>
      </c>
      <c r="B127" s="1" t="s">
        <v>197</v>
      </c>
      <c r="C127" s="1" t="s">
        <v>6</v>
      </c>
      <c r="D127" s="1" t="s">
        <v>21</v>
      </c>
    </row>
    <row r="128" ht="14.25" customHeight="1">
      <c r="A128" s="1" t="s">
        <v>1126</v>
      </c>
      <c r="B128" s="1" t="s">
        <v>214</v>
      </c>
      <c r="C128" s="1" t="s">
        <v>7</v>
      </c>
      <c r="D128" s="1" t="s">
        <v>13</v>
      </c>
    </row>
    <row r="129" ht="14.25" customHeight="1">
      <c r="A129" s="1" t="s">
        <v>1126</v>
      </c>
      <c r="B129" s="1" t="s">
        <v>214</v>
      </c>
      <c r="C129" s="1" t="s">
        <v>5</v>
      </c>
      <c r="D129" s="1" t="s">
        <v>1127</v>
      </c>
    </row>
    <row r="130" ht="14.25" customHeight="1">
      <c r="A130" s="1" t="s">
        <v>1126</v>
      </c>
      <c r="B130" s="1" t="s">
        <v>214</v>
      </c>
      <c r="C130" s="1" t="s">
        <v>6</v>
      </c>
      <c r="D130" s="1" t="s">
        <v>21</v>
      </c>
    </row>
    <row r="131" ht="14.25" customHeight="1">
      <c r="A131" s="1" t="s">
        <v>1128</v>
      </c>
      <c r="B131" s="1" t="s">
        <v>292</v>
      </c>
      <c r="C131" s="1" t="s">
        <v>7</v>
      </c>
      <c r="D131" s="1" t="s">
        <v>13</v>
      </c>
    </row>
    <row r="132" ht="14.25" customHeight="1">
      <c r="A132" s="1" t="s">
        <v>1128</v>
      </c>
      <c r="B132" s="1" t="s">
        <v>292</v>
      </c>
      <c r="C132" s="1" t="s">
        <v>5</v>
      </c>
      <c r="D132" s="1" t="s">
        <v>1129</v>
      </c>
    </row>
    <row r="133" ht="14.25" customHeight="1">
      <c r="A133" s="1" t="s">
        <v>1128</v>
      </c>
      <c r="B133" s="1" t="s">
        <v>292</v>
      </c>
      <c r="C133" s="1" t="s">
        <v>6</v>
      </c>
      <c r="D133" s="1" t="s">
        <v>21</v>
      </c>
    </row>
    <row r="134" ht="14.25" customHeight="1">
      <c r="A134" s="1" t="s">
        <v>1130</v>
      </c>
      <c r="B134" s="1" t="s">
        <v>398</v>
      </c>
      <c r="C134" s="1" t="s">
        <v>7</v>
      </c>
      <c r="D134" s="1" t="s">
        <v>19</v>
      </c>
    </row>
    <row r="135" ht="14.25" customHeight="1">
      <c r="A135" s="1" t="s">
        <v>1130</v>
      </c>
      <c r="B135" s="1" t="s">
        <v>398</v>
      </c>
      <c r="C135" s="1" t="s">
        <v>5</v>
      </c>
      <c r="D135" s="1" t="s">
        <v>1131</v>
      </c>
    </row>
    <row r="136" ht="14.25" customHeight="1">
      <c r="A136" s="1" t="s">
        <v>1130</v>
      </c>
      <c r="B136" s="1" t="s">
        <v>398</v>
      </c>
      <c r="C136" s="1" t="s">
        <v>6</v>
      </c>
      <c r="D136" s="1" t="s">
        <v>21</v>
      </c>
    </row>
    <row r="137" ht="14.25" customHeight="1">
      <c r="A137" s="1" t="s">
        <v>1132</v>
      </c>
      <c r="B137" s="1" t="s">
        <v>211</v>
      </c>
      <c r="C137" s="1" t="s">
        <v>7</v>
      </c>
      <c r="D137" s="1" t="s">
        <v>19</v>
      </c>
    </row>
    <row r="138" ht="14.25" customHeight="1">
      <c r="A138" s="1" t="s">
        <v>1132</v>
      </c>
      <c r="B138" s="1" t="s">
        <v>211</v>
      </c>
      <c r="C138" s="1" t="s">
        <v>5</v>
      </c>
      <c r="D138" s="1" t="s">
        <v>1133</v>
      </c>
    </row>
    <row r="139" ht="14.25" customHeight="1">
      <c r="A139" s="1" t="s">
        <v>1132</v>
      </c>
      <c r="B139" s="1" t="s">
        <v>211</v>
      </c>
      <c r="C139" s="1" t="s">
        <v>6</v>
      </c>
      <c r="D139" s="1" t="s">
        <v>11</v>
      </c>
    </row>
    <row r="140" ht="14.25" customHeight="1">
      <c r="A140" s="1" t="s">
        <v>1134</v>
      </c>
      <c r="B140" s="1" t="s">
        <v>208</v>
      </c>
      <c r="C140" s="1" t="s">
        <v>7</v>
      </c>
      <c r="D140" s="1" t="s">
        <v>13</v>
      </c>
    </row>
    <row r="141" ht="14.25" customHeight="1">
      <c r="A141" s="1" t="s">
        <v>1134</v>
      </c>
      <c r="B141" s="1" t="s">
        <v>208</v>
      </c>
      <c r="C141" s="1" t="s">
        <v>5</v>
      </c>
      <c r="D141" s="1" t="s">
        <v>1135</v>
      </c>
    </row>
    <row r="142" ht="14.25" customHeight="1">
      <c r="A142" s="1" t="s">
        <v>1134</v>
      </c>
      <c r="B142" s="1" t="s">
        <v>208</v>
      </c>
      <c r="C142" s="1" t="s">
        <v>6</v>
      </c>
      <c r="D142" s="1" t="s">
        <v>21</v>
      </c>
    </row>
    <row r="143" ht="14.25" customHeight="1">
      <c r="A143" s="1" t="s">
        <v>1136</v>
      </c>
      <c r="B143" s="1" t="s">
        <v>324</v>
      </c>
      <c r="C143" s="1" t="s">
        <v>7</v>
      </c>
      <c r="D143" s="1" t="s">
        <v>9</v>
      </c>
    </row>
    <row r="144" ht="14.25" customHeight="1">
      <c r="A144" s="1" t="s">
        <v>1136</v>
      </c>
      <c r="B144" s="1" t="s">
        <v>324</v>
      </c>
      <c r="C144" s="1" t="s">
        <v>5</v>
      </c>
      <c r="D144" s="1" t="s">
        <v>1137</v>
      </c>
    </row>
    <row r="145" ht="14.25" customHeight="1">
      <c r="A145" s="1" t="s">
        <v>1136</v>
      </c>
      <c r="B145" s="1" t="s">
        <v>324</v>
      </c>
      <c r="C145" s="1" t="s">
        <v>6</v>
      </c>
      <c r="D145" s="1" t="s">
        <v>11</v>
      </c>
    </row>
    <row r="146" ht="14.25" customHeight="1">
      <c r="A146" s="1" t="s">
        <v>1138</v>
      </c>
      <c r="B146" s="1" t="s">
        <v>188</v>
      </c>
      <c r="C146" s="1" t="s">
        <v>7</v>
      </c>
      <c r="D146" s="1" t="s">
        <v>13</v>
      </c>
    </row>
    <row r="147" ht="14.25" customHeight="1">
      <c r="A147" s="1" t="s">
        <v>1138</v>
      </c>
      <c r="B147" s="1" t="s">
        <v>188</v>
      </c>
      <c r="C147" s="1" t="s">
        <v>5</v>
      </c>
      <c r="D147" s="1" t="s">
        <v>1139</v>
      </c>
    </row>
    <row r="148" ht="14.25" customHeight="1">
      <c r="A148" s="1" t="s">
        <v>1138</v>
      </c>
      <c r="B148" s="1" t="s">
        <v>188</v>
      </c>
      <c r="C148" s="1" t="s">
        <v>6</v>
      </c>
      <c r="D148" s="1" t="s">
        <v>15</v>
      </c>
    </row>
    <row r="149" ht="14.25" customHeight="1">
      <c r="A149" s="1" t="s">
        <v>1140</v>
      </c>
      <c r="B149" s="1" t="s">
        <v>381</v>
      </c>
      <c r="C149" s="1" t="s">
        <v>7</v>
      </c>
      <c r="D149" s="1" t="s">
        <v>9</v>
      </c>
    </row>
    <row r="150" ht="14.25" customHeight="1">
      <c r="A150" s="1" t="s">
        <v>1140</v>
      </c>
      <c r="B150" s="1" t="s">
        <v>381</v>
      </c>
      <c r="C150" s="1" t="s">
        <v>5</v>
      </c>
      <c r="D150" s="1" t="s">
        <v>1141</v>
      </c>
    </row>
    <row r="151" ht="14.25" customHeight="1">
      <c r="A151" s="1" t="s">
        <v>1140</v>
      </c>
      <c r="B151" s="1" t="s">
        <v>381</v>
      </c>
      <c r="C151" s="1" t="s">
        <v>6</v>
      </c>
      <c r="D151" s="1" t="s">
        <v>11</v>
      </c>
    </row>
    <row r="152" ht="14.25" customHeight="1">
      <c r="A152" s="1" t="s">
        <v>1142</v>
      </c>
      <c r="B152" s="1" t="s">
        <v>230</v>
      </c>
      <c r="C152" s="1" t="s">
        <v>7</v>
      </c>
      <c r="D152" s="1" t="s">
        <v>13</v>
      </c>
    </row>
    <row r="153" ht="14.25" customHeight="1">
      <c r="A153" s="1" t="s">
        <v>1142</v>
      </c>
      <c r="B153" s="1" t="s">
        <v>230</v>
      </c>
      <c r="C153" s="1" t="s">
        <v>5</v>
      </c>
      <c r="D153" s="1" t="s">
        <v>1143</v>
      </c>
    </row>
    <row r="154" ht="14.25" customHeight="1">
      <c r="A154" s="1" t="s">
        <v>1142</v>
      </c>
      <c r="B154" s="1" t="s">
        <v>230</v>
      </c>
      <c r="C154" s="1" t="s">
        <v>6</v>
      </c>
      <c r="D154" s="1" t="s">
        <v>21</v>
      </c>
    </row>
    <row r="155" ht="14.25" customHeight="1">
      <c r="A155" s="1" t="s">
        <v>1144</v>
      </c>
      <c r="B155" s="1" t="s">
        <v>398</v>
      </c>
      <c r="C155" s="1" t="s">
        <v>7</v>
      </c>
      <c r="D155" s="1" t="s">
        <v>25</v>
      </c>
    </row>
    <row r="156" ht="14.25" customHeight="1">
      <c r="A156" s="1" t="s">
        <v>1144</v>
      </c>
      <c r="B156" s="1" t="s">
        <v>398</v>
      </c>
      <c r="C156" s="1" t="s">
        <v>5</v>
      </c>
      <c r="D156" s="1" t="s">
        <v>1145</v>
      </c>
    </row>
    <row r="157" ht="14.25" customHeight="1">
      <c r="A157" s="1" t="s">
        <v>1144</v>
      </c>
      <c r="B157" s="1" t="s">
        <v>398</v>
      </c>
      <c r="C157" s="1" t="s">
        <v>6</v>
      </c>
      <c r="D157" s="1" t="s">
        <v>21</v>
      </c>
    </row>
    <row r="158" ht="14.25" customHeight="1">
      <c r="A158" s="1" t="s">
        <v>1146</v>
      </c>
      <c r="B158" s="1" t="s">
        <v>208</v>
      </c>
      <c r="C158" s="1" t="s">
        <v>7</v>
      </c>
      <c r="D158" s="1" t="s">
        <v>19</v>
      </c>
    </row>
    <row r="159" ht="14.25" customHeight="1">
      <c r="A159" s="1" t="s">
        <v>1146</v>
      </c>
      <c r="B159" s="1" t="s">
        <v>208</v>
      </c>
      <c r="C159" s="1" t="s">
        <v>5</v>
      </c>
      <c r="D159" s="1" t="s">
        <v>1147</v>
      </c>
    </row>
    <row r="160" ht="14.25" customHeight="1">
      <c r="A160" s="1" t="s">
        <v>1146</v>
      </c>
      <c r="B160" s="1" t="s">
        <v>208</v>
      </c>
      <c r="C160" s="1" t="s">
        <v>6</v>
      </c>
      <c r="D160" s="1" t="s">
        <v>15</v>
      </c>
    </row>
    <row r="161" ht="14.25" customHeight="1">
      <c r="A161" s="1" t="s">
        <v>1148</v>
      </c>
      <c r="B161" s="1" t="s">
        <v>239</v>
      </c>
      <c r="C161" s="1" t="s">
        <v>7</v>
      </c>
      <c r="D161" s="1" t="s">
        <v>13</v>
      </c>
    </row>
    <row r="162" ht="14.25" customHeight="1">
      <c r="A162" s="1" t="s">
        <v>1148</v>
      </c>
      <c r="B162" s="1" t="s">
        <v>239</v>
      </c>
      <c r="C162" s="1" t="s">
        <v>5</v>
      </c>
      <c r="D162" s="1" t="s">
        <v>1149</v>
      </c>
    </row>
    <row r="163" ht="14.25" customHeight="1">
      <c r="A163" s="1" t="s">
        <v>1148</v>
      </c>
      <c r="B163" s="1" t="s">
        <v>239</v>
      </c>
      <c r="C163" s="1" t="s">
        <v>6</v>
      </c>
      <c r="D163" s="1" t="s">
        <v>21</v>
      </c>
    </row>
    <row r="164" ht="14.25" customHeight="1">
      <c r="A164" s="1" t="s">
        <v>1150</v>
      </c>
      <c r="B164" s="1" t="s">
        <v>182</v>
      </c>
      <c r="C164" s="1" t="s">
        <v>7</v>
      </c>
      <c r="D164" s="1" t="s">
        <v>25</v>
      </c>
    </row>
    <row r="165" ht="14.25" customHeight="1">
      <c r="A165" s="1" t="s">
        <v>1150</v>
      </c>
      <c r="B165" s="1" t="s">
        <v>182</v>
      </c>
      <c r="C165" s="1" t="s">
        <v>5</v>
      </c>
      <c r="D165" s="1" t="s">
        <v>1151</v>
      </c>
    </row>
    <row r="166" ht="14.25" customHeight="1">
      <c r="A166" s="1" t="s">
        <v>1150</v>
      </c>
      <c r="B166" s="1" t="s">
        <v>182</v>
      </c>
      <c r="C166" s="1" t="s">
        <v>6</v>
      </c>
      <c r="D166" s="1" t="s">
        <v>15</v>
      </c>
    </row>
    <row r="167" ht="14.25" customHeight="1">
      <c r="A167" s="1" t="s">
        <v>1152</v>
      </c>
      <c r="B167" s="1" t="s">
        <v>223</v>
      </c>
      <c r="C167" s="1" t="s">
        <v>7</v>
      </c>
      <c r="D167" s="1" t="s">
        <v>25</v>
      </c>
    </row>
    <row r="168" ht="14.25" customHeight="1">
      <c r="A168" s="1" t="s">
        <v>1152</v>
      </c>
      <c r="B168" s="1" t="s">
        <v>223</v>
      </c>
      <c r="C168" s="1" t="s">
        <v>5</v>
      </c>
      <c r="D168" s="1" t="s">
        <v>1153</v>
      </c>
    </row>
    <row r="169" ht="14.25" customHeight="1">
      <c r="A169" s="1" t="s">
        <v>1152</v>
      </c>
      <c r="B169" s="1" t="s">
        <v>223</v>
      </c>
      <c r="C169" s="1" t="s">
        <v>6</v>
      </c>
      <c r="D169" s="1" t="s">
        <v>15</v>
      </c>
    </row>
    <row r="170" ht="14.25" customHeight="1">
      <c r="A170" s="1" t="s">
        <v>1154</v>
      </c>
      <c r="B170" s="1" t="s">
        <v>191</v>
      </c>
      <c r="C170" s="1" t="s">
        <v>7</v>
      </c>
      <c r="D170" s="1" t="s">
        <v>9</v>
      </c>
    </row>
    <row r="171" ht="14.25" customHeight="1">
      <c r="A171" s="1" t="s">
        <v>1154</v>
      </c>
      <c r="B171" s="1" t="s">
        <v>191</v>
      </c>
      <c r="C171" s="1" t="s">
        <v>5</v>
      </c>
      <c r="D171" s="1" t="s">
        <v>1155</v>
      </c>
    </row>
    <row r="172" ht="14.25" customHeight="1">
      <c r="A172" s="1" t="s">
        <v>1154</v>
      </c>
      <c r="B172" s="1" t="s">
        <v>191</v>
      </c>
      <c r="C172" s="1" t="s">
        <v>6</v>
      </c>
      <c r="D172" s="1" t="s">
        <v>21</v>
      </c>
    </row>
    <row r="173" ht="14.25" customHeight="1">
      <c r="A173" s="1" t="s">
        <v>1156</v>
      </c>
      <c r="B173" s="1" t="s">
        <v>214</v>
      </c>
      <c r="C173" s="1" t="s">
        <v>7</v>
      </c>
      <c r="D173" s="1" t="s">
        <v>25</v>
      </c>
    </row>
    <row r="174" ht="14.25" customHeight="1">
      <c r="A174" s="1" t="s">
        <v>1156</v>
      </c>
      <c r="B174" s="1" t="s">
        <v>214</v>
      </c>
      <c r="C174" s="1" t="s">
        <v>5</v>
      </c>
      <c r="D174" s="1" t="s">
        <v>1157</v>
      </c>
    </row>
    <row r="175" ht="14.25" customHeight="1">
      <c r="A175" s="1" t="s">
        <v>1156</v>
      </c>
      <c r="B175" s="1" t="s">
        <v>214</v>
      </c>
      <c r="C175" s="1" t="s">
        <v>6</v>
      </c>
      <c r="D175" s="1" t="s">
        <v>21</v>
      </c>
    </row>
    <row r="176" ht="14.25" customHeight="1">
      <c r="A176" s="1" t="s">
        <v>1158</v>
      </c>
      <c r="B176" s="1" t="s">
        <v>378</v>
      </c>
      <c r="C176" s="1" t="s">
        <v>7</v>
      </c>
      <c r="D176" s="1" t="s">
        <v>25</v>
      </c>
    </row>
    <row r="177" ht="14.25" customHeight="1">
      <c r="A177" s="1" t="s">
        <v>1158</v>
      </c>
      <c r="B177" s="1" t="s">
        <v>378</v>
      </c>
      <c r="C177" s="1" t="s">
        <v>5</v>
      </c>
      <c r="D177" s="1" t="s">
        <v>1159</v>
      </c>
    </row>
    <row r="178" ht="14.25" customHeight="1">
      <c r="A178" s="1" t="s">
        <v>1158</v>
      </c>
      <c r="B178" s="1" t="s">
        <v>378</v>
      </c>
      <c r="C178" s="1" t="s">
        <v>6</v>
      </c>
      <c r="D178" s="1" t="s">
        <v>11</v>
      </c>
    </row>
    <row r="179" ht="14.25" customHeight="1">
      <c r="A179" s="1" t="s">
        <v>1160</v>
      </c>
      <c r="B179" s="1" t="s">
        <v>200</v>
      </c>
      <c r="C179" s="1" t="s">
        <v>7</v>
      </c>
      <c r="D179" s="1" t="s">
        <v>13</v>
      </c>
    </row>
    <row r="180" ht="14.25" customHeight="1">
      <c r="A180" s="1" t="s">
        <v>1160</v>
      </c>
      <c r="B180" s="1" t="s">
        <v>200</v>
      </c>
      <c r="C180" s="1" t="s">
        <v>5</v>
      </c>
      <c r="D180" s="1" t="s">
        <v>767</v>
      </c>
    </row>
    <row r="181" ht="14.25" customHeight="1">
      <c r="A181" s="1" t="s">
        <v>1160</v>
      </c>
      <c r="B181" s="1" t="s">
        <v>200</v>
      </c>
      <c r="C181" s="1" t="s">
        <v>6</v>
      </c>
      <c r="D181" s="1" t="s">
        <v>21</v>
      </c>
    </row>
    <row r="182" ht="14.25" customHeight="1">
      <c r="A182" s="1" t="s">
        <v>1161</v>
      </c>
      <c r="B182" s="1" t="s">
        <v>381</v>
      </c>
      <c r="C182" s="1" t="s">
        <v>7</v>
      </c>
      <c r="D182" s="1" t="s">
        <v>13</v>
      </c>
    </row>
    <row r="183" ht="14.25" customHeight="1">
      <c r="A183" s="1" t="s">
        <v>1161</v>
      </c>
      <c r="B183" s="1" t="s">
        <v>381</v>
      </c>
      <c r="C183" s="1" t="s">
        <v>5</v>
      </c>
      <c r="D183" s="1" t="s">
        <v>1162</v>
      </c>
    </row>
    <row r="184" ht="14.25" customHeight="1">
      <c r="A184" s="1" t="s">
        <v>1161</v>
      </c>
      <c r="B184" s="1" t="s">
        <v>381</v>
      </c>
      <c r="C184" s="1" t="s">
        <v>6</v>
      </c>
      <c r="D184" s="1" t="s">
        <v>21</v>
      </c>
    </row>
    <row r="185" ht="14.25" customHeight="1">
      <c r="A185" s="1" t="s">
        <v>1163</v>
      </c>
      <c r="B185" s="1" t="s">
        <v>310</v>
      </c>
      <c r="C185" s="1" t="s">
        <v>7</v>
      </c>
      <c r="D185" s="1" t="s">
        <v>9</v>
      </c>
    </row>
    <row r="186" ht="14.25" customHeight="1">
      <c r="A186" s="1" t="s">
        <v>1163</v>
      </c>
      <c r="B186" s="1" t="s">
        <v>310</v>
      </c>
      <c r="C186" s="1" t="s">
        <v>5</v>
      </c>
      <c r="D186" s="1" t="s">
        <v>1164</v>
      </c>
    </row>
    <row r="187" ht="14.25" customHeight="1">
      <c r="A187" s="1" t="s">
        <v>1163</v>
      </c>
      <c r="B187" s="1" t="s">
        <v>310</v>
      </c>
      <c r="C187" s="1" t="s">
        <v>6</v>
      </c>
      <c r="D187" s="1" t="s">
        <v>11</v>
      </c>
    </row>
    <row r="188" ht="14.25" customHeight="1">
      <c r="A188" s="1" t="s">
        <v>1165</v>
      </c>
      <c r="B188" s="1" t="s">
        <v>273</v>
      </c>
      <c r="C188" s="1" t="s">
        <v>7</v>
      </c>
      <c r="D188" s="1" t="s">
        <v>19</v>
      </c>
    </row>
    <row r="189" ht="14.25" customHeight="1">
      <c r="A189" s="1" t="s">
        <v>1165</v>
      </c>
      <c r="B189" s="1" t="s">
        <v>273</v>
      </c>
      <c r="C189" s="1" t="s">
        <v>5</v>
      </c>
      <c r="D189" s="1" t="s">
        <v>1166</v>
      </c>
    </row>
    <row r="190" ht="14.25" customHeight="1">
      <c r="A190" s="1" t="s">
        <v>1165</v>
      </c>
      <c r="B190" s="1" t="s">
        <v>273</v>
      </c>
      <c r="C190" s="1" t="s">
        <v>6</v>
      </c>
      <c r="D190" s="1" t="s">
        <v>21</v>
      </c>
    </row>
    <row r="191" ht="14.25" customHeight="1">
      <c r="A191" s="1" t="s">
        <v>1167</v>
      </c>
      <c r="B191" s="1" t="s">
        <v>223</v>
      </c>
      <c r="C191" s="1" t="s">
        <v>7</v>
      </c>
      <c r="D191" s="1" t="s">
        <v>19</v>
      </c>
    </row>
    <row r="192" ht="14.25" customHeight="1">
      <c r="A192" s="1" t="s">
        <v>1167</v>
      </c>
      <c r="B192" s="1" t="s">
        <v>223</v>
      </c>
      <c r="C192" s="1" t="s">
        <v>5</v>
      </c>
      <c r="D192" s="1" t="s">
        <v>1168</v>
      </c>
    </row>
    <row r="193" ht="14.25" customHeight="1">
      <c r="A193" s="1" t="s">
        <v>1167</v>
      </c>
      <c r="B193" s="1" t="s">
        <v>223</v>
      </c>
      <c r="C193" s="1" t="s">
        <v>6</v>
      </c>
      <c r="D193" s="1" t="s">
        <v>11</v>
      </c>
    </row>
    <row r="194" ht="14.25" customHeight="1">
      <c r="A194" s="1" t="s">
        <v>1169</v>
      </c>
      <c r="B194" s="1" t="s">
        <v>378</v>
      </c>
      <c r="C194" s="1" t="s">
        <v>7</v>
      </c>
      <c r="D194" s="1" t="s">
        <v>13</v>
      </c>
    </row>
    <row r="195" ht="14.25" customHeight="1">
      <c r="A195" s="1" t="s">
        <v>1169</v>
      </c>
      <c r="B195" s="1" t="s">
        <v>378</v>
      </c>
      <c r="C195" s="1" t="s">
        <v>5</v>
      </c>
      <c r="D195" s="1" t="s">
        <v>1170</v>
      </c>
    </row>
    <row r="196" ht="14.25" customHeight="1">
      <c r="A196" s="1" t="s">
        <v>1169</v>
      </c>
      <c r="B196" s="1" t="s">
        <v>378</v>
      </c>
      <c r="C196" s="1" t="s">
        <v>6</v>
      </c>
      <c r="D196" s="1" t="s">
        <v>11</v>
      </c>
    </row>
    <row r="197" ht="14.25" customHeight="1">
      <c r="A197" s="1" t="s">
        <v>1171</v>
      </c>
      <c r="B197" s="1" t="s">
        <v>200</v>
      </c>
      <c r="C197" s="1" t="s">
        <v>7</v>
      </c>
      <c r="D197" s="1" t="s">
        <v>9</v>
      </c>
    </row>
    <row r="198" ht="14.25" customHeight="1">
      <c r="A198" s="1" t="s">
        <v>1171</v>
      </c>
      <c r="B198" s="1" t="s">
        <v>200</v>
      </c>
      <c r="C198" s="1" t="s">
        <v>5</v>
      </c>
      <c r="D198" s="1" t="s">
        <v>1172</v>
      </c>
    </row>
    <row r="199" ht="14.25" customHeight="1">
      <c r="A199" s="1" t="s">
        <v>1171</v>
      </c>
      <c r="B199" s="1" t="s">
        <v>200</v>
      </c>
      <c r="C199" s="1" t="s">
        <v>6</v>
      </c>
      <c r="D199" s="1" t="s">
        <v>21</v>
      </c>
    </row>
    <row r="200" ht="14.25" customHeight="1">
      <c r="A200" s="1" t="s">
        <v>1173</v>
      </c>
      <c r="B200" s="1" t="s">
        <v>182</v>
      </c>
      <c r="C200" s="1" t="s">
        <v>7</v>
      </c>
      <c r="D200" s="1" t="s">
        <v>25</v>
      </c>
    </row>
    <row r="201" ht="14.25" customHeight="1">
      <c r="A201" s="1" t="s">
        <v>1173</v>
      </c>
      <c r="B201" s="1" t="s">
        <v>182</v>
      </c>
      <c r="C201" s="1" t="s">
        <v>5</v>
      </c>
      <c r="D201" s="1" t="s">
        <v>1174</v>
      </c>
    </row>
    <row r="202" ht="14.25" customHeight="1">
      <c r="A202" s="1" t="s">
        <v>1173</v>
      </c>
      <c r="B202" s="1" t="s">
        <v>182</v>
      </c>
      <c r="C202" s="1" t="s">
        <v>6</v>
      </c>
      <c r="D202" s="1" t="s">
        <v>11</v>
      </c>
    </row>
    <row r="203" ht="14.25" customHeight="1">
      <c r="A203" s="1" t="s">
        <v>1175</v>
      </c>
      <c r="B203" s="1" t="s">
        <v>292</v>
      </c>
      <c r="C203" s="1" t="s">
        <v>7</v>
      </c>
      <c r="D203" s="1" t="s">
        <v>9</v>
      </c>
    </row>
    <row r="204" ht="14.25" customHeight="1">
      <c r="A204" s="1" t="s">
        <v>1175</v>
      </c>
      <c r="B204" s="1" t="s">
        <v>292</v>
      </c>
      <c r="C204" s="1" t="s">
        <v>5</v>
      </c>
      <c r="D204" s="1" t="s">
        <v>1176</v>
      </c>
    </row>
    <row r="205" ht="14.25" customHeight="1">
      <c r="A205" s="1" t="s">
        <v>1175</v>
      </c>
      <c r="B205" s="1" t="s">
        <v>292</v>
      </c>
      <c r="C205" s="1" t="s">
        <v>6</v>
      </c>
      <c r="D205" s="1" t="s">
        <v>11</v>
      </c>
    </row>
    <row r="206" ht="14.25" customHeight="1">
      <c r="A206" s="1" t="s">
        <v>1177</v>
      </c>
      <c r="B206" s="1" t="s">
        <v>317</v>
      </c>
      <c r="C206" s="1" t="s">
        <v>7</v>
      </c>
      <c r="D206" s="1" t="s">
        <v>19</v>
      </c>
    </row>
    <row r="207" ht="14.25" customHeight="1">
      <c r="A207" s="1" t="s">
        <v>1177</v>
      </c>
      <c r="B207" s="1" t="s">
        <v>317</v>
      </c>
      <c r="C207" s="1" t="s">
        <v>5</v>
      </c>
      <c r="D207" s="1" t="s">
        <v>1178</v>
      </c>
    </row>
    <row r="208" ht="14.25" customHeight="1">
      <c r="A208" s="1" t="s">
        <v>1177</v>
      </c>
      <c r="B208" s="1" t="s">
        <v>317</v>
      </c>
      <c r="C208" s="1" t="s">
        <v>6</v>
      </c>
      <c r="D208" s="1" t="s">
        <v>11</v>
      </c>
    </row>
    <row r="209" ht="14.25" customHeight="1">
      <c r="A209" s="1" t="s">
        <v>1179</v>
      </c>
      <c r="B209" s="1" t="s">
        <v>239</v>
      </c>
      <c r="C209" s="1" t="s">
        <v>7</v>
      </c>
      <c r="D209" s="1" t="s">
        <v>19</v>
      </c>
    </row>
    <row r="210" ht="14.25" customHeight="1">
      <c r="A210" s="1" t="s">
        <v>1179</v>
      </c>
      <c r="B210" s="1" t="s">
        <v>239</v>
      </c>
      <c r="C210" s="1" t="s">
        <v>5</v>
      </c>
      <c r="D210" s="1" t="s">
        <v>1180</v>
      </c>
    </row>
    <row r="211" ht="14.25" customHeight="1">
      <c r="A211" s="1" t="s">
        <v>1179</v>
      </c>
      <c r="B211" s="1" t="s">
        <v>239</v>
      </c>
      <c r="C211" s="1" t="s">
        <v>6</v>
      </c>
      <c r="D211" s="1" t="s">
        <v>11</v>
      </c>
    </row>
    <row r="212" ht="14.25" customHeight="1">
      <c r="A212" s="1" t="s">
        <v>1181</v>
      </c>
      <c r="B212" s="1" t="s">
        <v>223</v>
      </c>
      <c r="C212" s="1" t="s">
        <v>7</v>
      </c>
      <c r="D212" s="1" t="s">
        <v>25</v>
      </c>
    </row>
    <row r="213" ht="14.25" customHeight="1">
      <c r="A213" s="1" t="s">
        <v>1181</v>
      </c>
      <c r="B213" s="1" t="s">
        <v>223</v>
      </c>
      <c r="C213" s="1" t="s">
        <v>5</v>
      </c>
      <c r="D213" s="1" t="s">
        <v>1182</v>
      </c>
    </row>
    <row r="214" ht="14.25" customHeight="1">
      <c r="A214" s="1" t="s">
        <v>1181</v>
      </c>
      <c r="B214" s="1" t="s">
        <v>223</v>
      </c>
      <c r="C214" s="1" t="s">
        <v>6</v>
      </c>
      <c r="D214" s="1" t="s">
        <v>21</v>
      </c>
    </row>
    <row r="215" ht="14.25" customHeight="1">
      <c r="A215" s="1" t="s">
        <v>1183</v>
      </c>
      <c r="B215" s="1" t="s">
        <v>339</v>
      </c>
      <c r="C215" s="1" t="s">
        <v>7</v>
      </c>
      <c r="D215" s="1" t="s">
        <v>25</v>
      </c>
    </row>
    <row r="216" ht="14.25" customHeight="1">
      <c r="A216" s="1" t="s">
        <v>1183</v>
      </c>
      <c r="B216" s="1" t="s">
        <v>339</v>
      </c>
      <c r="C216" s="1" t="s">
        <v>5</v>
      </c>
      <c r="D216" s="1" t="s">
        <v>886</v>
      </c>
    </row>
    <row r="217" ht="14.25" customHeight="1">
      <c r="A217" s="1" t="s">
        <v>1183</v>
      </c>
      <c r="B217" s="1" t="s">
        <v>339</v>
      </c>
      <c r="C217" s="1" t="s">
        <v>6</v>
      </c>
      <c r="D217" s="1" t="s">
        <v>15</v>
      </c>
    </row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1184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1185</v>
      </c>
      <c r="B2" s="1" t="s">
        <v>236</v>
      </c>
      <c r="C2" s="1" t="s">
        <v>7</v>
      </c>
      <c r="D2" s="1" t="s">
        <v>25</v>
      </c>
      <c r="F2" s="4" t="str">
        <f>IFERROR(__xludf.DUMMYFUNCTION("UNIQUE(A2:A1000)"),"107924")</f>
        <v>107924</v>
      </c>
      <c r="G2" s="4" t="str">
        <f t="shared" ref="G2:G87" si="1">CONCATENATE("08","/",VLOOKUP(F2, A2:D1000, 2, false),"/",2023)</f>
        <v>08/2/2023</v>
      </c>
      <c r="H2" s="4" t="str">
        <f t="shared" ref="H2:H87" si="2">INDEX(D:D, MATCH(1, ($A:$A = $F2) * ($C:$C = $H$1), 0))</f>
        <v>9/2/1975</v>
      </c>
      <c r="I2" s="4" t="str">
        <f t="shared" ref="I2:I87" si="3">INDEX(D:D, MATCH(1, ($A:$A = $F2) * ($C:$C = $I$1), 0))</f>
        <v>Gold</v>
      </c>
      <c r="J2" s="4" t="str">
        <f t="shared" ref="J2:J87" si="4">INDEX(D:D, MATCH(1, ($A:$A = $F2) * ($C:$C = $J$1), 0))</f>
        <v>Black</v>
      </c>
    </row>
    <row r="3" ht="14.25" customHeight="1">
      <c r="A3" s="1" t="s">
        <v>1185</v>
      </c>
      <c r="B3" s="1" t="s">
        <v>236</v>
      </c>
      <c r="C3" s="1" t="s">
        <v>5</v>
      </c>
      <c r="D3" s="1" t="s">
        <v>1186</v>
      </c>
      <c r="F3" s="1" t="str">
        <f>IFERROR(__xludf.DUMMYFUNCTION("""COMPUTED_VALUE"""),"534142")</f>
        <v>534142</v>
      </c>
      <c r="G3" s="4" t="str">
        <f t="shared" si="1"/>
        <v>08/26/2023</v>
      </c>
      <c r="H3" s="4" t="str">
        <f t="shared" si="2"/>
        <v>11/9/1954</v>
      </c>
      <c r="I3" s="4" t="str">
        <f t="shared" si="3"/>
        <v>Gold</v>
      </c>
      <c r="J3" s="4" t="str">
        <f t="shared" si="4"/>
        <v>Black</v>
      </c>
    </row>
    <row r="4" ht="14.25" customHeight="1">
      <c r="A4" s="1" t="s">
        <v>1185</v>
      </c>
      <c r="B4" s="1" t="s">
        <v>236</v>
      </c>
      <c r="C4" s="1" t="s">
        <v>6</v>
      </c>
      <c r="D4" s="1" t="s">
        <v>15</v>
      </c>
      <c r="F4" s="1" t="str">
        <f>IFERROR(__xludf.DUMMYFUNCTION("""COMPUTED_VALUE"""),"465564")</f>
        <v>465564</v>
      </c>
      <c r="G4" s="4" t="str">
        <f t="shared" si="1"/>
        <v>08/26/2023</v>
      </c>
      <c r="H4" s="4" t="str">
        <f t="shared" si="2"/>
        <v>8/12/2015</v>
      </c>
      <c r="I4" s="4" t="str">
        <f t="shared" si="3"/>
        <v>Platinum</v>
      </c>
      <c r="J4" s="4" t="str">
        <f t="shared" si="4"/>
        <v>Asian</v>
      </c>
    </row>
    <row r="5" ht="14.25" customHeight="1">
      <c r="A5" s="1" t="s">
        <v>1187</v>
      </c>
      <c r="B5" s="1" t="s">
        <v>230</v>
      </c>
      <c r="C5" s="1" t="s">
        <v>7</v>
      </c>
      <c r="D5" s="1" t="s">
        <v>25</v>
      </c>
      <c r="F5" s="1" t="str">
        <f>IFERROR(__xludf.DUMMYFUNCTION("""COMPUTED_VALUE"""),"488809")</f>
        <v>488809</v>
      </c>
      <c r="G5" s="4" t="str">
        <f t="shared" si="1"/>
        <v>08/23/2023</v>
      </c>
      <c r="H5" s="4" t="str">
        <f t="shared" si="2"/>
        <v>7/24/2004</v>
      </c>
      <c r="I5" s="4" t="str">
        <f t="shared" si="3"/>
        <v>Platinum</v>
      </c>
      <c r="J5" s="4" t="str">
        <f t="shared" si="4"/>
        <v>Black</v>
      </c>
    </row>
    <row r="6" ht="14.25" customHeight="1">
      <c r="A6" s="1" t="s">
        <v>1187</v>
      </c>
      <c r="B6" s="1" t="s">
        <v>230</v>
      </c>
      <c r="C6" s="1" t="s">
        <v>5</v>
      </c>
      <c r="D6" s="1" t="s">
        <v>1188</v>
      </c>
      <c r="F6" s="1" t="str">
        <f>IFERROR(__xludf.DUMMYFUNCTION("""COMPUTED_VALUE"""),"201146")</f>
        <v>201146</v>
      </c>
      <c r="G6" s="4" t="str">
        <f t="shared" si="1"/>
        <v>08/17/2023</v>
      </c>
      <c r="H6" s="4" t="str">
        <f t="shared" si="2"/>
        <v>7/1/1976</v>
      </c>
      <c r="I6" s="4" t="str">
        <f t="shared" si="3"/>
        <v>Basic</v>
      </c>
      <c r="J6" s="4" t="str">
        <f t="shared" si="4"/>
        <v>Black</v>
      </c>
    </row>
    <row r="7" ht="14.25" customHeight="1">
      <c r="A7" s="1" t="s">
        <v>1187</v>
      </c>
      <c r="B7" s="1" t="s">
        <v>230</v>
      </c>
      <c r="C7" s="1" t="s">
        <v>6</v>
      </c>
      <c r="D7" s="1" t="s">
        <v>15</v>
      </c>
      <c r="F7" s="1" t="str">
        <f>IFERROR(__xludf.DUMMYFUNCTION("""COMPUTED_VALUE"""),"378506")</f>
        <v>378506</v>
      </c>
      <c r="G7" s="4" t="str">
        <f t="shared" si="1"/>
        <v>08/26/2023</v>
      </c>
      <c r="H7" s="4" t="str">
        <f t="shared" si="2"/>
        <v>7/8/1968</v>
      </c>
      <c r="I7" s="4" t="str">
        <f t="shared" si="3"/>
        <v>Basic</v>
      </c>
      <c r="J7" s="4" t="str">
        <f t="shared" si="4"/>
        <v>Other</v>
      </c>
    </row>
    <row r="8" ht="14.25" customHeight="1">
      <c r="A8" s="1" t="s">
        <v>1189</v>
      </c>
      <c r="B8" s="1" t="s">
        <v>230</v>
      </c>
      <c r="C8" s="1" t="s">
        <v>7</v>
      </c>
      <c r="D8" s="1" t="s">
        <v>19</v>
      </c>
      <c r="F8" s="1" t="str">
        <f>IFERROR(__xludf.DUMMYFUNCTION("""COMPUTED_VALUE"""),"268478")</f>
        <v>268478</v>
      </c>
      <c r="G8" s="4" t="str">
        <f t="shared" si="1"/>
        <v>08/31/2023</v>
      </c>
      <c r="H8" s="4" t="str">
        <f t="shared" si="2"/>
        <v>6/14/1952</v>
      </c>
      <c r="I8" s="4" t="str">
        <f t="shared" si="3"/>
        <v>Gold</v>
      </c>
      <c r="J8" s="4" t="str">
        <f t="shared" si="4"/>
        <v>Black</v>
      </c>
    </row>
    <row r="9" ht="14.25" customHeight="1">
      <c r="A9" s="1" t="s">
        <v>1189</v>
      </c>
      <c r="B9" s="1" t="s">
        <v>230</v>
      </c>
      <c r="C9" s="1" t="s">
        <v>5</v>
      </c>
      <c r="D9" s="1" t="s">
        <v>1190</v>
      </c>
      <c r="F9" s="1" t="str">
        <f>IFERROR(__xludf.DUMMYFUNCTION("""COMPUTED_VALUE"""),"850145")</f>
        <v>850145</v>
      </c>
      <c r="G9" s="4" t="str">
        <f t="shared" si="1"/>
        <v>08/23/2023</v>
      </c>
      <c r="H9" s="4" t="str">
        <f t="shared" si="2"/>
        <v>4/4/2019</v>
      </c>
      <c r="I9" s="4" t="str">
        <f t="shared" si="3"/>
        <v>Gold</v>
      </c>
      <c r="J9" s="4" t="str">
        <f t="shared" si="4"/>
        <v>Other</v>
      </c>
    </row>
    <row r="10" ht="14.25" customHeight="1">
      <c r="A10" s="1" t="s">
        <v>1189</v>
      </c>
      <c r="B10" s="1" t="s">
        <v>230</v>
      </c>
      <c r="C10" s="1" t="s">
        <v>6</v>
      </c>
      <c r="D10" s="1" t="s">
        <v>11</v>
      </c>
      <c r="F10" s="1" t="str">
        <f>IFERROR(__xludf.DUMMYFUNCTION("""COMPUTED_VALUE"""),"604078")</f>
        <v>604078</v>
      </c>
      <c r="G10" s="4" t="str">
        <f t="shared" si="1"/>
        <v>08/2/2023</v>
      </c>
      <c r="H10" s="4" t="str">
        <f t="shared" si="2"/>
        <v>9/18/1997</v>
      </c>
      <c r="I10" s="4" t="str">
        <f t="shared" si="3"/>
        <v>Basic</v>
      </c>
      <c r="J10" s="4" t="str">
        <f t="shared" si="4"/>
        <v>Asian</v>
      </c>
    </row>
    <row r="11" ht="14.25" customHeight="1">
      <c r="A11" s="1" t="s">
        <v>1191</v>
      </c>
      <c r="B11" s="1" t="s">
        <v>307</v>
      </c>
      <c r="C11" s="1" t="s">
        <v>7</v>
      </c>
      <c r="D11" s="1" t="s">
        <v>25</v>
      </c>
      <c r="F11" s="1" t="str">
        <f>IFERROR(__xludf.DUMMYFUNCTION("""COMPUTED_VALUE"""),"620952")</f>
        <v>620952</v>
      </c>
      <c r="G11" s="4" t="str">
        <f t="shared" si="1"/>
        <v>08/30/2023</v>
      </c>
      <c r="H11" s="4" t="str">
        <f t="shared" si="2"/>
        <v>9/5/1979</v>
      </c>
      <c r="I11" s="4" t="str">
        <f t="shared" si="3"/>
        <v>Platinum</v>
      </c>
      <c r="J11" s="4" t="str">
        <f t="shared" si="4"/>
        <v>White</v>
      </c>
    </row>
    <row r="12" ht="14.25" customHeight="1">
      <c r="A12" s="1" t="s">
        <v>1191</v>
      </c>
      <c r="B12" s="1" t="s">
        <v>307</v>
      </c>
      <c r="C12" s="1" t="s">
        <v>5</v>
      </c>
      <c r="D12" s="1" t="s">
        <v>1192</v>
      </c>
      <c r="F12" s="1" t="str">
        <f>IFERROR(__xludf.DUMMYFUNCTION("""COMPUTED_VALUE"""),"497542")</f>
        <v>497542</v>
      </c>
      <c r="G12" s="4" t="str">
        <f t="shared" si="1"/>
        <v>08/22/2023</v>
      </c>
      <c r="H12" s="4" t="str">
        <f t="shared" si="2"/>
        <v>5/19/2005</v>
      </c>
      <c r="I12" s="4" t="str">
        <f t="shared" si="3"/>
        <v>Gold</v>
      </c>
      <c r="J12" s="4" t="str">
        <f t="shared" si="4"/>
        <v>White</v>
      </c>
    </row>
    <row r="13" ht="14.25" customHeight="1">
      <c r="A13" s="1" t="s">
        <v>1191</v>
      </c>
      <c r="B13" s="1" t="s">
        <v>307</v>
      </c>
      <c r="C13" s="1" t="s">
        <v>6</v>
      </c>
      <c r="D13" s="1" t="s">
        <v>11</v>
      </c>
      <c r="F13" s="1" t="str">
        <f>IFERROR(__xludf.DUMMYFUNCTION("""COMPUTED_VALUE"""),"151356")</f>
        <v>151356</v>
      </c>
      <c r="G13" s="4" t="str">
        <f t="shared" si="1"/>
        <v>08/28/2023</v>
      </c>
      <c r="H13" s="4" t="str">
        <f t="shared" si="2"/>
        <v>2/11/2013</v>
      </c>
      <c r="I13" s="4" t="str">
        <f t="shared" si="3"/>
        <v>Basic</v>
      </c>
      <c r="J13" s="4" t="str">
        <f t="shared" si="4"/>
        <v>Asian</v>
      </c>
    </row>
    <row r="14" ht="14.25" customHeight="1">
      <c r="A14" s="1" t="s">
        <v>1193</v>
      </c>
      <c r="B14" s="1" t="s">
        <v>223</v>
      </c>
      <c r="C14" s="1" t="s">
        <v>7</v>
      </c>
      <c r="D14" s="1" t="s">
        <v>25</v>
      </c>
      <c r="F14" s="1" t="str">
        <f>IFERROR(__xludf.DUMMYFUNCTION("""COMPUTED_VALUE"""),"121769")</f>
        <v>121769</v>
      </c>
      <c r="G14" s="4" t="str">
        <f t="shared" si="1"/>
        <v>08/13/2023</v>
      </c>
      <c r="H14" s="4" t="str">
        <f t="shared" si="2"/>
        <v>12/31/1948</v>
      </c>
      <c r="I14" s="4" t="str">
        <f t="shared" si="3"/>
        <v>Gold</v>
      </c>
      <c r="J14" s="4" t="str">
        <f t="shared" si="4"/>
        <v>Asian</v>
      </c>
    </row>
    <row r="15" ht="14.25" customHeight="1">
      <c r="A15" s="1" t="s">
        <v>1193</v>
      </c>
      <c r="B15" s="1" t="s">
        <v>223</v>
      </c>
      <c r="C15" s="1" t="s">
        <v>5</v>
      </c>
      <c r="D15" s="1" t="s">
        <v>1194</v>
      </c>
      <c r="F15" s="1" t="str">
        <f>IFERROR(__xludf.DUMMYFUNCTION("""COMPUTED_VALUE"""),"647719")</f>
        <v>647719</v>
      </c>
      <c r="G15" s="4" t="str">
        <f t="shared" si="1"/>
        <v>08/1/2023</v>
      </c>
      <c r="H15" s="4" t="str">
        <f t="shared" si="2"/>
        <v>7/20/2000</v>
      </c>
      <c r="I15" s="4" t="str">
        <f t="shared" si="3"/>
        <v>Gold</v>
      </c>
      <c r="J15" s="4" t="str">
        <f t="shared" si="4"/>
        <v>Black</v>
      </c>
    </row>
    <row r="16" ht="14.25" customHeight="1">
      <c r="A16" s="1" t="s">
        <v>1193</v>
      </c>
      <c r="B16" s="1" t="s">
        <v>223</v>
      </c>
      <c r="C16" s="1" t="s">
        <v>6</v>
      </c>
      <c r="D16" s="1" t="s">
        <v>21</v>
      </c>
      <c r="F16" s="1" t="str">
        <f>IFERROR(__xludf.DUMMYFUNCTION("""COMPUTED_VALUE"""),"124463")</f>
        <v>124463</v>
      </c>
      <c r="G16" s="4" t="str">
        <f t="shared" si="1"/>
        <v>08/18/2023</v>
      </c>
      <c r="H16" s="4" t="str">
        <f t="shared" si="2"/>
        <v>5/12/1943</v>
      </c>
      <c r="I16" s="4" t="str">
        <f t="shared" si="3"/>
        <v>Basic</v>
      </c>
      <c r="J16" s="4" t="str">
        <f t="shared" si="4"/>
        <v>Other</v>
      </c>
    </row>
    <row r="17" ht="14.25" customHeight="1">
      <c r="A17" s="1" t="s">
        <v>1195</v>
      </c>
      <c r="B17" s="1" t="s">
        <v>230</v>
      </c>
      <c r="C17" s="1" t="s">
        <v>7</v>
      </c>
      <c r="D17" s="1" t="s">
        <v>9</v>
      </c>
      <c r="F17" s="1" t="str">
        <f>IFERROR(__xludf.DUMMYFUNCTION("""COMPUTED_VALUE"""),"642548")</f>
        <v>642548</v>
      </c>
      <c r="G17" s="4" t="str">
        <f t="shared" si="1"/>
        <v>08/8/2023</v>
      </c>
      <c r="H17" s="4" t="str">
        <f t="shared" si="2"/>
        <v>6/1/2017</v>
      </c>
      <c r="I17" s="4" t="str">
        <f t="shared" si="3"/>
        <v>Gold</v>
      </c>
      <c r="J17" s="4" t="str">
        <f t="shared" si="4"/>
        <v>Black</v>
      </c>
    </row>
    <row r="18" ht="14.25" customHeight="1">
      <c r="A18" s="1" t="s">
        <v>1195</v>
      </c>
      <c r="B18" s="1" t="s">
        <v>230</v>
      </c>
      <c r="C18" s="1" t="s">
        <v>5</v>
      </c>
      <c r="D18" s="1" t="s">
        <v>1196</v>
      </c>
      <c r="F18" s="1" t="str">
        <f>IFERROR(__xludf.DUMMYFUNCTION("""COMPUTED_VALUE"""),"115026")</f>
        <v>115026</v>
      </c>
      <c r="G18" s="4" t="str">
        <f t="shared" si="1"/>
        <v>08/1/2023</v>
      </c>
      <c r="H18" s="4" t="str">
        <f t="shared" si="2"/>
        <v>2/26/1993</v>
      </c>
      <c r="I18" s="4" t="str">
        <f t="shared" si="3"/>
        <v>Basic</v>
      </c>
      <c r="J18" s="4" t="str">
        <f t="shared" si="4"/>
        <v>Asian</v>
      </c>
    </row>
    <row r="19" ht="14.25" customHeight="1">
      <c r="A19" s="1" t="s">
        <v>1195</v>
      </c>
      <c r="B19" s="1" t="s">
        <v>230</v>
      </c>
      <c r="C19" s="1" t="s">
        <v>6</v>
      </c>
      <c r="D19" s="1" t="s">
        <v>21</v>
      </c>
      <c r="F19" s="1" t="str">
        <f>IFERROR(__xludf.DUMMYFUNCTION("""COMPUTED_VALUE"""),"340036")</f>
        <v>340036</v>
      </c>
      <c r="G19" s="4" t="str">
        <f t="shared" si="1"/>
        <v>08/25/2023</v>
      </c>
      <c r="H19" s="4" t="str">
        <f t="shared" si="2"/>
        <v>10/16/1952</v>
      </c>
      <c r="I19" s="4" t="str">
        <f t="shared" si="3"/>
        <v>Gold</v>
      </c>
      <c r="J19" s="4" t="str">
        <f t="shared" si="4"/>
        <v>Other</v>
      </c>
    </row>
    <row r="20" ht="14.25" customHeight="1">
      <c r="A20" s="1" t="s">
        <v>1197</v>
      </c>
      <c r="B20" s="1" t="s">
        <v>463</v>
      </c>
      <c r="C20" s="1" t="s">
        <v>7</v>
      </c>
      <c r="D20" s="1" t="s">
        <v>25</v>
      </c>
      <c r="F20" s="1" t="str">
        <f>IFERROR(__xludf.DUMMYFUNCTION("""COMPUTED_VALUE"""),"881809")</f>
        <v>881809</v>
      </c>
      <c r="G20" s="4" t="str">
        <f t="shared" si="1"/>
        <v>08/10/2023</v>
      </c>
      <c r="H20" s="4" t="str">
        <f t="shared" si="2"/>
        <v>10/29/1961</v>
      </c>
      <c r="I20" s="4" t="str">
        <f t="shared" si="3"/>
        <v>Basic</v>
      </c>
      <c r="J20" s="4" t="str">
        <f t="shared" si="4"/>
        <v>White</v>
      </c>
    </row>
    <row r="21" ht="14.25" customHeight="1">
      <c r="A21" s="1" t="s">
        <v>1197</v>
      </c>
      <c r="B21" s="1" t="s">
        <v>463</v>
      </c>
      <c r="C21" s="1" t="s">
        <v>5</v>
      </c>
      <c r="D21" s="1" t="s">
        <v>1198</v>
      </c>
      <c r="F21" s="1" t="str">
        <f>IFERROR(__xludf.DUMMYFUNCTION("""COMPUTED_VALUE"""),"127539")</f>
        <v>127539</v>
      </c>
      <c r="G21" s="4" t="str">
        <f t="shared" si="1"/>
        <v>08/27/2023</v>
      </c>
      <c r="H21" s="4" t="str">
        <f t="shared" si="2"/>
        <v>10/2/2001</v>
      </c>
      <c r="I21" s="4" t="str">
        <f t="shared" si="3"/>
        <v>Platinum</v>
      </c>
      <c r="J21" s="4" t="str">
        <f t="shared" si="4"/>
        <v>Other</v>
      </c>
    </row>
    <row r="22" ht="14.25" customHeight="1">
      <c r="A22" s="1" t="s">
        <v>1197</v>
      </c>
      <c r="B22" s="1" t="s">
        <v>463</v>
      </c>
      <c r="C22" s="1" t="s">
        <v>6</v>
      </c>
      <c r="D22" s="1" t="s">
        <v>15</v>
      </c>
      <c r="F22" s="1" t="str">
        <f>IFERROR(__xludf.DUMMYFUNCTION("""COMPUTED_VALUE"""),"732882")</f>
        <v>732882</v>
      </c>
      <c r="G22" s="4" t="str">
        <f t="shared" si="1"/>
        <v>08/18/2023</v>
      </c>
      <c r="H22" s="4" t="str">
        <f t="shared" si="2"/>
        <v>6/15/1950</v>
      </c>
      <c r="I22" s="4" t="str">
        <f t="shared" si="3"/>
        <v>Platinum</v>
      </c>
      <c r="J22" s="4" t="str">
        <f t="shared" si="4"/>
        <v>White</v>
      </c>
    </row>
    <row r="23" ht="14.25" customHeight="1">
      <c r="A23" s="1" t="s">
        <v>1199</v>
      </c>
      <c r="B23" s="1" t="s">
        <v>307</v>
      </c>
      <c r="C23" s="1" t="s">
        <v>7</v>
      </c>
      <c r="D23" s="1" t="s">
        <v>9</v>
      </c>
      <c r="F23" s="1" t="str">
        <f>IFERROR(__xludf.DUMMYFUNCTION("""COMPUTED_VALUE"""),"716137")</f>
        <v>716137</v>
      </c>
      <c r="G23" s="4" t="str">
        <f t="shared" si="1"/>
        <v>08/15/2023</v>
      </c>
      <c r="H23" s="4" t="str">
        <f t="shared" si="2"/>
        <v>1/6/1987</v>
      </c>
      <c r="I23" s="4" t="str">
        <f t="shared" si="3"/>
        <v>Basic</v>
      </c>
      <c r="J23" s="4" t="str">
        <f t="shared" si="4"/>
        <v>Other</v>
      </c>
    </row>
    <row r="24" ht="14.25" customHeight="1">
      <c r="A24" s="1" t="s">
        <v>1199</v>
      </c>
      <c r="B24" s="1" t="s">
        <v>307</v>
      </c>
      <c r="C24" s="1" t="s">
        <v>5</v>
      </c>
      <c r="D24" s="1" t="s">
        <v>1200</v>
      </c>
      <c r="F24" s="1" t="str">
        <f>IFERROR(__xludf.DUMMYFUNCTION("""COMPUTED_VALUE"""),"911428")</f>
        <v>911428</v>
      </c>
      <c r="G24" s="4" t="str">
        <f t="shared" si="1"/>
        <v>08/27/2023</v>
      </c>
      <c r="H24" s="4" t="str">
        <f t="shared" si="2"/>
        <v>5/4/2005</v>
      </c>
      <c r="I24" s="4" t="str">
        <f t="shared" si="3"/>
        <v>Gold</v>
      </c>
      <c r="J24" s="4" t="str">
        <f t="shared" si="4"/>
        <v>Black</v>
      </c>
    </row>
    <row r="25" ht="14.25" customHeight="1">
      <c r="A25" s="1" t="s">
        <v>1199</v>
      </c>
      <c r="B25" s="1" t="s">
        <v>307</v>
      </c>
      <c r="C25" s="1" t="s">
        <v>6</v>
      </c>
      <c r="D25" s="1" t="s">
        <v>15</v>
      </c>
      <c r="F25" s="1" t="str">
        <f>IFERROR(__xludf.DUMMYFUNCTION("""COMPUTED_VALUE"""),"350315")</f>
        <v>350315</v>
      </c>
      <c r="G25" s="4" t="str">
        <f t="shared" si="1"/>
        <v>08/31/2023</v>
      </c>
      <c r="H25" s="4" t="str">
        <f t="shared" si="2"/>
        <v>4/11/2014</v>
      </c>
      <c r="I25" s="4" t="str">
        <f t="shared" si="3"/>
        <v>Gold</v>
      </c>
      <c r="J25" s="4" t="str">
        <f t="shared" si="4"/>
        <v>Black</v>
      </c>
    </row>
    <row r="26" ht="14.25" customHeight="1">
      <c r="A26" s="1" t="s">
        <v>1201</v>
      </c>
      <c r="B26" s="1" t="s">
        <v>236</v>
      </c>
      <c r="C26" s="1" t="s">
        <v>7</v>
      </c>
      <c r="D26" s="1" t="s">
        <v>19</v>
      </c>
      <c r="F26" s="1" t="str">
        <f>IFERROR(__xludf.DUMMYFUNCTION("""COMPUTED_VALUE"""),"527503")</f>
        <v>527503</v>
      </c>
      <c r="G26" s="4" t="str">
        <f t="shared" si="1"/>
        <v>08/15/2023</v>
      </c>
      <c r="H26" s="4" t="str">
        <f t="shared" si="2"/>
        <v>1/8/1967</v>
      </c>
      <c r="I26" s="4" t="str">
        <f t="shared" si="3"/>
        <v>Gold</v>
      </c>
      <c r="J26" s="4" t="str">
        <f t="shared" si="4"/>
        <v>White</v>
      </c>
    </row>
    <row r="27" ht="14.25" customHeight="1">
      <c r="A27" s="1" t="s">
        <v>1201</v>
      </c>
      <c r="B27" s="1" t="s">
        <v>236</v>
      </c>
      <c r="C27" s="1" t="s">
        <v>5</v>
      </c>
      <c r="D27" s="1" t="s">
        <v>1202</v>
      </c>
      <c r="F27" s="1" t="str">
        <f>IFERROR(__xludf.DUMMYFUNCTION("""COMPUTED_VALUE"""),"793732")</f>
        <v>793732</v>
      </c>
      <c r="G27" s="4" t="str">
        <f t="shared" si="1"/>
        <v>08/28/2023</v>
      </c>
      <c r="H27" s="4" t="str">
        <f t="shared" si="2"/>
        <v>5/19/1986</v>
      </c>
      <c r="I27" s="4" t="str">
        <f t="shared" si="3"/>
        <v>Platinum</v>
      </c>
      <c r="J27" s="4" t="str">
        <f t="shared" si="4"/>
        <v>Asian</v>
      </c>
    </row>
    <row r="28" ht="14.25" customHeight="1">
      <c r="A28" s="1" t="s">
        <v>1201</v>
      </c>
      <c r="B28" s="1" t="s">
        <v>236</v>
      </c>
      <c r="C28" s="1" t="s">
        <v>6</v>
      </c>
      <c r="D28" s="1" t="s">
        <v>21</v>
      </c>
      <c r="F28" s="1" t="str">
        <f>IFERROR(__xludf.DUMMYFUNCTION("""COMPUTED_VALUE"""),"499227")</f>
        <v>499227</v>
      </c>
      <c r="G28" s="4" t="str">
        <f t="shared" si="1"/>
        <v>08/3/2023</v>
      </c>
      <c r="H28" s="4" t="str">
        <f t="shared" si="2"/>
        <v>9/12/1978</v>
      </c>
      <c r="I28" s="4" t="str">
        <f t="shared" si="3"/>
        <v>Gold</v>
      </c>
      <c r="J28" s="4" t="str">
        <f t="shared" si="4"/>
        <v>Other</v>
      </c>
    </row>
    <row r="29" ht="14.25" customHeight="1">
      <c r="A29" s="1" t="s">
        <v>1203</v>
      </c>
      <c r="B29" s="1" t="s">
        <v>472</v>
      </c>
      <c r="C29" s="1" t="s">
        <v>7</v>
      </c>
      <c r="D29" s="1" t="s">
        <v>13</v>
      </c>
      <c r="F29" s="1" t="str">
        <f>IFERROR(__xludf.DUMMYFUNCTION("""COMPUTED_VALUE"""),"697757")</f>
        <v>697757</v>
      </c>
      <c r="G29" s="4" t="str">
        <f t="shared" si="1"/>
        <v>08/30/2023</v>
      </c>
      <c r="H29" s="4" t="str">
        <f t="shared" si="2"/>
        <v>2/3/1989</v>
      </c>
      <c r="I29" s="4" t="str">
        <f t="shared" si="3"/>
        <v>Gold</v>
      </c>
      <c r="J29" s="4" t="str">
        <f t="shared" si="4"/>
        <v>Other</v>
      </c>
    </row>
    <row r="30" ht="14.25" customHeight="1">
      <c r="A30" s="1" t="s">
        <v>1203</v>
      </c>
      <c r="B30" s="1" t="s">
        <v>472</v>
      </c>
      <c r="C30" s="1" t="s">
        <v>5</v>
      </c>
      <c r="D30" s="1" t="s">
        <v>1204</v>
      </c>
      <c r="F30" s="1" t="str">
        <f>IFERROR(__xludf.DUMMYFUNCTION("""COMPUTED_VALUE"""),"414182")</f>
        <v>414182</v>
      </c>
      <c r="G30" s="4" t="str">
        <f t="shared" si="1"/>
        <v>08/30/2023</v>
      </c>
      <c r="H30" s="4" t="str">
        <f t="shared" si="2"/>
        <v>1/24/1973</v>
      </c>
      <c r="I30" s="4" t="str">
        <f t="shared" si="3"/>
        <v>Gold</v>
      </c>
      <c r="J30" s="4" t="str">
        <f t="shared" si="4"/>
        <v>White</v>
      </c>
    </row>
    <row r="31" ht="14.25" customHeight="1">
      <c r="A31" s="1" t="s">
        <v>1203</v>
      </c>
      <c r="B31" s="1" t="s">
        <v>472</v>
      </c>
      <c r="C31" s="1" t="s">
        <v>6</v>
      </c>
      <c r="D31" s="1" t="s">
        <v>11</v>
      </c>
      <c r="F31" s="1" t="str">
        <f>IFERROR(__xludf.DUMMYFUNCTION("""COMPUTED_VALUE"""),"894124")</f>
        <v>894124</v>
      </c>
      <c r="G31" s="4" t="str">
        <f t="shared" si="1"/>
        <v>08/18/2023</v>
      </c>
      <c r="H31" s="4" t="str">
        <f t="shared" si="2"/>
        <v>10/20/1981</v>
      </c>
      <c r="I31" s="4" t="str">
        <f t="shared" si="3"/>
        <v>Gold</v>
      </c>
      <c r="J31" s="4" t="str">
        <f t="shared" si="4"/>
        <v>Asian</v>
      </c>
    </row>
    <row r="32" ht="14.25" customHeight="1">
      <c r="A32" s="1" t="s">
        <v>1205</v>
      </c>
      <c r="B32" s="1" t="s">
        <v>273</v>
      </c>
      <c r="C32" s="1" t="s">
        <v>7</v>
      </c>
      <c r="D32" s="1" t="s">
        <v>13</v>
      </c>
      <c r="F32" s="1" t="str">
        <f>IFERROR(__xludf.DUMMYFUNCTION("""COMPUTED_VALUE"""),"425443")</f>
        <v>425443</v>
      </c>
      <c r="G32" s="4" t="str">
        <f t="shared" si="1"/>
        <v>08/4/2023</v>
      </c>
      <c r="H32" s="4" t="str">
        <f t="shared" si="2"/>
        <v>7/17/1977</v>
      </c>
      <c r="I32" s="4" t="str">
        <f t="shared" si="3"/>
        <v>Platinum</v>
      </c>
      <c r="J32" s="4" t="str">
        <f t="shared" si="4"/>
        <v>Black</v>
      </c>
    </row>
    <row r="33" ht="14.25" customHeight="1">
      <c r="A33" s="1" t="s">
        <v>1205</v>
      </c>
      <c r="B33" s="1" t="s">
        <v>273</v>
      </c>
      <c r="C33" s="1" t="s">
        <v>5</v>
      </c>
      <c r="D33" s="1" t="s">
        <v>1206</v>
      </c>
      <c r="F33" s="1" t="str">
        <f>IFERROR(__xludf.DUMMYFUNCTION("""COMPUTED_VALUE"""),"557275")</f>
        <v>557275</v>
      </c>
      <c r="G33" s="4" t="str">
        <f t="shared" si="1"/>
        <v>08/9/2023</v>
      </c>
      <c r="H33" s="4" t="str">
        <f t="shared" si="2"/>
        <v>9/9/1999</v>
      </c>
      <c r="I33" s="4" t="str">
        <f t="shared" si="3"/>
        <v>Platinum</v>
      </c>
      <c r="J33" s="4" t="str">
        <f t="shared" si="4"/>
        <v>Other</v>
      </c>
    </row>
    <row r="34" ht="14.25" customHeight="1">
      <c r="A34" s="1" t="s">
        <v>1205</v>
      </c>
      <c r="B34" s="1" t="s">
        <v>273</v>
      </c>
      <c r="C34" s="1" t="s">
        <v>6</v>
      </c>
      <c r="D34" s="1" t="s">
        <v>15</v>
      </c>
      <c r="F34" s="1" t="str">
        <f>IFERROR(__xludf.DUMMYFUNCTION("""COMPUTED_VALUE"""),"940236")</f>
        <v>940236</v>
      </c>
      <c r="G34" s="4" t="str">
        <f t="shared" si="1"/>
        <v>08/20/2023</v>
      </c>
      <c r="H34" s="4" t="str">
        <f t="shared" si="2"/>
        <v>12/28/1957</v>
      </c>
      <c r="I34" s="4" t="str">
        <f t="shared" si="3"/>
        <v>Platinum</v>
      </c>
      <c r="J34" s="4" t="str">
        <f t="shared" si="4"/>
        <v>White</v>
      </c>
    </row>
    <row r="35" ht="14.25" customHeight="1">
      <c r="A35" s="1" t="s">
        <v>1207</v>
      </c>
      <c r="B35" s="1" t="s">
        <v>211</v>
      </c>
      <c r="C35" s="1" t="s">
        <v>7</v>
      </c>
      <c r="D35" s="1" t="s">
        <v>19</v>
      </c>
      <c r="F35" s="1" t="str">
        <f>IFERROR(__xludf.DUMMYFUNCTION("""COMPUTED_VALUE"""),"825747")</f>
        <v>825747</v>
      </c>
      <c r="G35" s="4" t="str">
        <f t="shared" si="1"/>
        <v>08/4/2023</v>
      </c>
      <c r="H35" s="4" t="str">
        <f t="shared" si="2"/>
        <v>10/7/1958</v>
      </c>
      <c r="I35" s="4" t="str">
        <f t="shared" si="3"/>
        <v>Basic</v>
      </c>
      <c r="J35" s="4" t="str">
        <f t="shared" si="4"/>
        <v>Black</v>
      </c>
    </row>
    <row r="36" ht="14.25" customHeight="1">
      <c r="A36" s="1" t="s">
        <v>1207</v>
      </c>
      <c r="B36" s="1" t="s">
        <v>211</v>
      </c>
      <c r="C36" s="1" t="s">
        <v>5</v>
      </c>
      <c r="D36" s="1" t="s">
        <v>1208</v>
      </c>
      <c r="F36" s="1" t="str">
        <f>IFERROR(__xludf.DUMMYFUNCTION("""COMPUTED_VALUE"""),"374944")</f>
        <v>374944</v>
      </c>
      <c r="G36" s="4" t="str">
        <f t="shared" si="1"/>
        <v>08/25/2023</v>
      </c>
      <c r="H36" s="4" t="str">
        <f t="shared" si="2"/>
        <v>3/20/1965</v>
      </c>
      <c r="I36" s="4" t="str">
        <f t="shared" si="3"/>
        <v>Basic</v>
      </c>
      <c r="J36" s="4" t="str">
        <f t="shared" si="4"/>
        <v>Black</v>
      </c>
    </row>
    <row r="37" ht="14.25" customHeight="1">
      <c r="A37" s="1" t="s">
        <v>1207</v>
      </c>
      <c r="B37" s="1" t="s">
        <v>211</v>
      </c>
      <c r="C37" s="1" t="s">
        <v>6</v>
      </c>
      <c r="D37" s="1" t="s">
        <v>21</v>
      </c>
      <c r="F37" s="1" t="str">
        <f>IFERROR(__xludf.DUMMYFUNCTION("""COMPUTED_VALUE"""),"813986")</f>
        <v>813986</v>
      </c>
      <c r="G37" s="4" t="str">
        <f t="shared" si="1"/>
        <v>08/20/2023</v>
      </c>
      <c r="H37" s="4" t="str">
        <f t="shared" si="2"/>
        <v>5/2/1979</v>
      </c>
      <c r="I37" s="4" t="str">
        <f t="shared" si="3"/>
        <v>Gold</v>
      </c>
      <c r="J37" s="4" t="str">
        <f t="shared" si="4"/>
        <v>Other</v>
      </c>
    </row>
    <row r="38" ht="14.25" customHeight="1">
      <c r="A38" s="1" t="s">
        <v>1209</v>
      </c>
      <c r="B38" s="1" t="s">
        <v>398</v>
      </c>
      <c r="C38" s="1" t="s">
        <v>7</v>
      </c>
      <c r="D38" s="1" t="s">
        <v>19</v>
      </c>
      <c r="F38" s="1" t="str">
        <f>IFERROR(__xludf.DUMMYFUNCTION("""COMPUTED_VALUE"""),"618456")</f>
        <v>618456</v>
      </c>
      <c r="G38" s="4" t="str">
        <f t="shared" si="1"/>
        <v>08/6/2023</v>
      </c>
      <c r="H38" s="4" t="str">
        <f t="shared" si="2"/>
        <v>3/13/2009</v>
      </c>
      <c r="I38" s="4" t="str">
        <f t="shared" si="3"/>
        <v>Basic</v>
      </c>
      <c r="J38" s="4" t="str">
        <f t="shared" si="4"/>
        <v>Asian</v>
      </c>
    </row>
    <row r="39" ht="14.25" customHeight="1">
      <c r="A39" s="1" t="s">
        <v>1209</v>
      </c>
      <c r="B39" s="1" t="s">
        <v>398</v>
      </c>
      <c r="C39" s="1" t="s">
        <v>5</v>
      </c>
      <c r="D39" s="1" t="s">
        <v>1210</v>
      </c>
      <c r="F39" s="1" t="str">
        <f>IFERROR(__xludf.DUMMYFUNCTION("""COMPUTED_VALUE"""),"269274")</f>
        <v>269274</v>
      </c>
      <c r="G39" s="4" t="str">
        <f t="shared" si="1"/>
        <v>08/28/2023</v>
      </c>
      <c r="H39" s="4" t="str">
        <f t="shared" si="2"/>
        <v>1/8/2000</v>
      </c>
      <c r="I39" s="4" t="str">
        <f t="shared" si="3"/>
        <v>Platinum</v>
      </c>
      <c r="J39" s="4" t="str">
        <f t="shared" si="4"/>
        <v>White</v>
      </c>
    </row>
    <row r="40" ht="14.25" customHeight="1">
      <c r="A40" s="1" t="s">
        <v>1209</v>
      </c>
      <c r="B40" s="1" t="s">
        <v>398</v>
      </c>
      <c r="C40" s="1" t="s">
        <v>6</v>
      </c>
      <c r="D40" s="1" t="s">
        <v>15</v>
      </c>
      <c r="F40" s="1" t="str">
        <f>IFERROR(__xludf.DUMMYFUNCTION("""COMPUTED_VALUE"""),"435115")</f>
        <v>435115</v>
      </c>
      <c r="G40" s="4" t="str">
        <f t="shared" si="1"/>
        <v>08/26/2023</v>
      </c>
      <c r="H40" s="4" t="str">
        <f t="shared" si="2"/>
        <v>2/7/2012</v>
      </c>
      <c r="I40" s="4" t="str">
        <f t="shared" si="3"/>
        <v>Basic</v>
      </c>
      <c r="J40" s="4" t="str">
        <f t="shared" si="4"/>
        <v>Other</v>
      </c>
    </row>
    <row r="41" ht="14.25" customHeight="1">
      <c r="A41" s="1" t="s">
        <v>1211</v>
      </c>
      <c r="B41" s="1" t="s">
        <v>188</v>
      </c>
      <c r="C41" s="1" t="s">
        <v>7</v>
      </c>
      <c r="D41" s="1" t="s">
        <v>25</v>
      </c>
      <c r="F41" s="1" t="str">
        <f>IFERROR(__xludf.DUMMYFUNCTION("""COMPUTED_VALUE"""),"398707")</f>
        <v>398707</v>
      </c>
      <c r="G41" s="4" t="str">
        <f t="shared" si="1"/>
        <v>08/22/2023</v>
      </c>
      <c r="H41" s="4" t="str">
        <f t="shared" si="2"/>
        <v>5/3/2012</v>
      </c>
      <c r="I41" s="4" t="str">
        <f t="shared" si="3"/>
        <v>Gold</v>
      </c>
      <c r="J41" s="4" t="str">
        <f t="shared" si="4"/>
        <v>Black</v>
      </c>
    </row>
    <row r="42" ht="14.25" customHeight="1">
      <c r="A42" s="1" t="s">
        <v>1211</v>
      </c>
      <c r="B42" s="1" t="s">
        <v>188</v>
      </c>
      <c r="C42" s="1" t="s">
        <v>5</v>
      </c>
      <c r="D42" s="1" t="s">
        <v>1212</v>
      </c>
      <c r="F42" s="1" t="str">
        <f>IFERROR(__xludf.DUMMYFUNCTION("""COMPUTED_VALUE"""),"630270")</f>
        <v>630270</v>
      </c>
      <c r="G42" s="4" t="str">
        <f t="shared" si="1"/>
        <v>08/23/2023</v>
      </c>
      <c r="H42" s="4" t="str">
        <f t="shared" si="2"/>
        <v>1/26/1964</v>
      </c>
      <c r="I42" s="4" t="str">
        <f t="shared" si="3"/>
        <v>Platinum</v>
      </c>
      <c r="J42" s="4" t="str">
        <f t="shared" si="4"/>
        <v>Other</v>
      </c>
    </row>
    <row r="43" ht="14.25" customHeight="1">
      <c r="A43" s="1" t="s">
        <v>1211</v>
      </c>
      <c r="B43" s="1" t="s">
        <v>188</v>
      </c>
      <c r="C43" s="1" t="s">
        <v>6</v>
      </c>
      <c r="D43" s="1" t="s">
        <v>15</v>
      </c>
      <c r="F43" s="1" t="str">
        <f>IFERROR(__xludf.DUMMYFUNCTION("""COMPUTED_VALUE"""),"253699")</f>
        <v>253699</v>
      </c>
      <c r="G43" s="4" t="str">
        <f t="shared" si="1"/>
        <v>08/23/2023</v>
      </c>
      <c r="H43" s="4" t="str">
        <f t="shared" si="2"/>
        <v>12/31/1954</v>
      </c>
      <c r="I43" s="4" t="str">
        <f t="shared" si="3"/>
        <v>Gold</v>
      </c>
      <c r="J43" s="4" t="str">
        <f t="shared" si="4"/>
        <v>Other</v>
      </c>
    </row>
    <row r="44" ht="14.25" customHeight="1">
      <c r="A44" s="1" t="s">
        <v>1213</v>
      </c>
      <c r="B44" s="1" t="s">
        <v>200</v>
      </c>
      <c r="C44" s="1" t="s">
        <v>7</v>
      </c>
      <c r="D44" s="1" t="s">
        <v>9</v>
      </c>
      <c r="F44" s="1" t="str">
        <f>IFERROR(__xludf.DUMMYFUNCTION("""COMPUTED_VALUE"""),"951213")</f>
        <v>951213</v>
      </c>
      <c r="G44" s="4" t="str">
        <f t="shared" si="1"/>
        <v>08/31/2023</v>
      </c>
      <c r="H44" s="4" t="str">
        <f t="shared" si="2"/>
        <v>8/29/1982</v>
      </c>
      <c r="I44" s="4" t="str">
        <f t="shared" si="3"/>
        <v>Basic</v>
      </c>
      <c r="J44" s="4" t="str">
        <f t="shared" si="4"/>
        <v>Asian</v>
      </c>
    </row>
    <row r="45" ht="14.25" customHeight="1">
      <c r="A45" s="1" t="s">
        <v>1213</v>
      </c>
      <c r="B45" s="1" t="s">
        <v>200</v>
      </c>
      <c r="C45" s="1" t="s">
        <v>5</v>
      </c>
      <c r="D45" s="1" t="s">
        <v>1214</v>
      </c>
      <c r="F45" s="1" t="str">
        <f>IFERROR(__xludf.DUMMYFUNCTION("""COMPUTED_VALUE"""),"121392")</f>
        <v>121392</v>
      </c>
      <c r="G45" s="4" t="str">
        <f t="shared" si="1"/>
        <v>08/15/2023</v>
      </c>
      <c r="H45" s="4" t="str">
        <f t="shared" si="2"/>
        <v>4/6/1980</v>
      </c>
      <c r="I45" s="4" t="str">
        <f t="shared" si="3"/>
        <v>Gold</v>
      </c>
      <c r="J45" s="4" t="str">
        <f t="shared" si="4"/>
        <v>Black</v>
      </c>
    </row>
    <row r="46" ht="14.25" customHeight="1">
      <c r="A46" s="1" t="s">
        <v>1213</v>
      </c>
      <c r="B46" s="1" t="s">
        <v>200</v>
      </c>
      <c r="C46" s="1" t="s">
        <v>6</v>
      </c>
      <c r="D46" s="1" t="s">
        <v>21</v>
      </c>
      <c r="F46" s="1" t="str">
        <f>IFERROR(__xludf.DUMMYFUNCTION("""COMPUTED_VALUE"""),"256547")</f>
        <v>256547</v>
      </c>
      <c r="G46" s="4" t="str">
        <f t="shared" si="1"/>
        <v>08/30/2023</v>
      </c>
      <c r="H46" s="4" t="str">
        <f t="shared" si="2"/>
        <v>8/21/2013</v>
      </c>
      <c r="I46" s="4" t="str">
        <f t="shared" si="3"/>
        <v>Gold</v>
      </c>
      <c r="J46" s="4" t="str">
        <f t="shared" si="4"/>
        <v>Black</v>
      </c>
    </row>
    <row r="47" ht="14.25" customHeight="1">
      <c r="A47" s="1" t="s">
        <v>1215</v>
      </c>
      <c r="B47" s="1" t="s">
        <v>191</v>
      </c>
      <c r="C47" s="1" t="s">
        <v>7</v>
      </c>
      <c r="D47" s="1" t="s">
        <v>25</v>
      </c>
      <c r="F47" s="1" t="str">
        <f>IFERROR(__xludf.DUMMYFUNCTION("""COMPUTED_VALUE"""),"970285")</f>
        <v>970285</v>
      </c>
      <c r="G47" s="4" t="str">
        <f t="shared" si="1"/>
        <v>08/4/2023</v>
      </c>
      <c r="H47" s="4" t="str">
        <f t="shared" si="2"/>
        <v>8/21/1988</v>
      </c>
      <c r="I47" s="4" t="str">
        <f t="shared" si="3"/>
        <v>Basic</v>
      </c>
      <c r="J47" s="4" t="str">
        <f t="shared" si="4"/>
        <v>Other</v>
      </c>
    </row>
    <row r="48" ht="14.25" customHeight="1">
      <c r="A48" s="1" t="s">
        <v>1215</v>
      </c>
      <c r="B48" s="1" t="s">
        <v>191</v>
      </c>
      <c r="C48" s="1" t="s">
        <v>5</v>
      </c>
      <c r="D48" s="1" t="s">
        <v>1216</v>
      </c>
      <c r="F48" s="1" t="str">
        <f>IFERROR(__xludf.DUMMYFUNCTION("""COMPUTED_VALUE"""),"150324")</f>
        <v>150324</v>
      </c>
      <c r="G48" s="4" t="str">
        <f t="shared" si="1"/>
        <v>08/11/2023</v>
      </c>
      <c r="H48" s="4" t="str">
        <f t="shared" si="2"/>
        <v>6/13/2017</v>
      </c>
      <c r="I48" s="4" t="str">
        <f t="shared" si="3"/>
        <v>Gold</v>
      </c>
      <c r="J48" s="4" t="str">
        <f t="shared" si="4"/>
        <v>White</v>
      </c>
    </row>
    <row r="49" ht="14.25" customHeight="1">
      <c r="A49" s="1" t="s">
        <v>1215</v>
      </c>
      <c r="B49" s="1" t="s">
        <v>191</v>
      </c>
      <c r="C49" s="1" t="s">
        <v>6</v>
      </c>
      <c r="D49" s="1" t="s">
        <v>15</v>
      </c>
      <c r="F49" s="1" t="str">
        <f>IFERROR(__xludf.DUMMYFUNCTION("""COMPUTED_VALUE"""),"103488")</f>
        <v>103488</v>
      </c>
      <c r="G49" s="4" t="str">
        <f t="shared" si="1"/>
        <v>08/28/2023</v>
      </c>
      <c r="H49" s="4" t="str">
        <f t="shared" si="2"/>
        <v>9/26/1957</v>
      </c>
      <c r="I49" s="4" t="str">
        <f t="shared" si="3"/>
        <v>Basic</v>
      </c>
      <c r="J49" s="4" t="str">
        <f t="shared" si="4"/>
        <v>Other</v>
      </c>
    </row>
    <row r="50" ht="14.25" customHeight="1">
      <c r="A50" s="1" t="s">
        <v>1217</v>
      </c>
      <c r="B50" s="1" t="s">
        <v>188</v>
      </c>
      <c r="C50" s="1" t="s">
        <v>7</v>
      </c>
      <c r="D50" s="1" t="s">
        <v>19</v>
      </c>
      <c r="F50" s="1" t="str">
        <f>IFERROR(__xludf.DUMMYFUNCTION("""COMPUTED_VALUE"""),"938419")</f>
        <v>938419</v>
      </c>
      <c r="G50" s="4" t="str">
        <f t="shared" si="1"/>
        <v>08/17/2023</v>
      </c>
      <c r="H50" s="4" t="str">
        <f t="shared" si="2"/>
        <v>10/4/2003</v>
      </c>
      <c r="I50" s="4" t="str">
        <f t="shared" si="3"/>
        <v>Basic</v>
      </c>
      <c r="J50" s="4" t="str">
        <f t="shared" si="4"/>
        <v>White</v>
      </c>
    </row>
    <row r="51" ht="14.25" customHeight="1">
      <c r="A51" s="1" t="s">
        <v>1217</v>
      </c>
      <c r="B51" s="1" t="s">
        <v>188</v>
      </c>
      <c r="C51" s="1" t="s">
        <v>5</v>
      </c>
      <c r="D51" s="1" t="s">
        <v>1218</v>
      </c>
      <c r="F51" s="1" t="str">
        <f>IFERROR(__xludf.DUMMYFUNCTION("""COMPUTED_VALUE"""),"201221")</f>
        <v>201221</v>
      </c>
      <c r="G51" s="4" t="str">
        <f t="shared" si="1"/>
        <v>08/6/2023</v>
      </c>
      <c r="H51" s="4" t="str">
        <f t="shared" si="2"/>
        <v>11/10/1941</v>
      </c>
      <c r="I51" s="4" t="str">
        <f t="shared" si="3"/>
        <v>Gold</v>
      </c>
      <c r="J51" s="4" t="str">
        <f t="shared" si="4"/>
        <v>Black</v>
      </c>
    </row>
    <row r="52" ht="14.25" customHeight="1">
      <c r="A52" s="1" t="s">
        <v>1217</v>
      </c>
      <c r="B52" s="1" t="s">
        <v>188</v>
      </c>
      <c r="C52" s="1" t="s">
        <v>6</v>
      </c>
      <c r="D52" s="1" t="s">
        <v>21</v>
      </c>
      <c r="F52" s="1" t="str">
        <f>IFERROR(__xludf.DUMMYFUNCTION("""COMPUTED_VALUE"""),"488622")</f>
        <v>488622</v>
      </c>
      <c r="G52" s="4" t="str">
        <f t="shared" si="1"/>
        <v>08/31/2023</v>
      </c>
      <c r="H52" s="4" t="str">
        <f t="shared" si="2"/>
        <v>2/19/1945</v>
      </c>
      <c r="I52" s="4" t="str">
        <f t="shared" si="3"/>
        <v>Gold</v>
      </c>
      <c r="J52" s="4" t="str">
        <f t="shared" si="4"/>
        <v>Black</v>
      </c>
    </row>
    <row r="53" ht="14.25" customHeight="1">
      <c r="A53" s="1" t="s">
        <v>1219</v>
      </c>
      <c r="B53" s="1" t="s">
        <v>208</v>
      </c>
      <c r="C53" s="1" t="s">
        <v>7</v>
      </c>
      <c r="D53" s="1" t="s">
        <v>9</v>
      </c>
      <c r="F53" s="1" t="str">
        <f>IFERROR(__xludf.DUMMYFUNCTION("""COMPUTED_VALUE"""),"402835")</f>
        <v>402835</v>
      </c>
      <c r="G53" s="4" t="str">
        <f t="shared" si="1"/>
        <v>08/27/2023</v>
      </c>
      <c r="H53" s="4" t="str">
        <f t="shared" si="2"/>
        <v>5/25/1941</v>
      </c>
      <c r="I53" s="4" t="str">
        <f t="shared" si="3"/>
        <v>Platinum</v>
      </c>
      <c r="J53" s="4" t="str">
        <f t="shared" si="4"/>
        <v>Other</v>
      </c>
    </row>
    <row r="54" ht="14.25" customHeight="1">
      <c r="A54" s="1" t="s">
        <v>1219</v>
      </c>
      <c r="B54" s="1" t="s">
        <v>208</v>
      </c>
      <c r="C54" s="1" t="s">
        <v>5</v>
      </c>
      <c r="D54" s="1" t="s">
        <v>1220</v>
      </c>
      <c r="F54" s="1" t="str">
        <f>IFERROR(__xludf.DUMMYFUNCTION("""COMPUTED_VALUE"""),"673773")</f>
        <v>673773</v>
      </c>
      <c r="G54" s="4" t="str">
        <f t="shared" si="1"/>
        <v>08/26/2023</v>
      </c>
      <c r="H54" s="4" t="str">
        <f t="shared" si="2"/>
        <v>9/22/1951</v>
      </c>
      <c r="I54" s="4" t="str">
        <f t="shared" si="3"/>
        <v>Gold</v>
      </c>
      <c r="J54" s="4" t="str">
        <f t="shared" si="4"/>
        <v>White</v>
      </c>
    </row>
    <row r="55" ht="14.25" customHeight="1">
      <c r="A55" s="1" t="s">
        <v>1219</v>
      </c>
      <c r="B55" s="1" t="s">
        <v>208</v>
      </c>
      <c r="C55" s="1" t="s">
        <v>6</v>
      </c>
      <c r="D55" s="1" t="s">
        <v>15</v>
      </c>
      <c r="F55" s="1" t="str">
        <f>IFERROR(__xludf.DUMMYFUNCTION("""COMPUTED_VALUE"""),"853490")</f>
        <v>853490</v>
      </c>
      <c r="G55" s="4" t="str">
        <f t="shared" si="1"/>
        <v>08/21/2023</v>
      </c>
      <c r="H55" s="4" t="str">
        <f t="shared" si="2"/>
        <v>8/18/2011</v>
      </c>
      <c r="I55" s="4" t="str">
        <f t="shared" si="3"/>
        <v>Basic</v>
      </c>
      <c r="J55" s="4" t="str">
        <f t="shared" si="4"/>
        <v>Black</v>
      </c>
    </row>
    <row r="56" ht="14.25" customHeight="1">
      <c r="A56" s="1" t="s">
        <v>1221</v>
      </c>
      <c r="B56" s="1" t="s">
        <v>233</v>
      </c>
      <c r="C56" s="1" t="s">
        <v>7</v>
      </c>
      <c r="D56" s="1" t="s">
        <v>13</v>
      </c>
      <c r="F56" s="1" t="str">
        <f>IFERROR(__xludf.DUMMYFUNCTION("""COMPUTED_VALUE"""),"239999")</f>
        <v>239999</v>
      </c>
      <c r="G56" s="4" t="str">
        <f t="shared" si="1"/>
        <v>08/10/2023</v>
      </c>
      <c r="H56" s="4" t="str">
        <f t="shared" si="2"/>
        <v>9/7/1988</v>
      </c>
      <c r="I56" s="4" t="str">
        <f t="shared" si="3"/>
        <v>Platinum</v>
      </c>
      <c r="J56" s="4" t="str">
        <f t="shared" si="4"/>
        <v>Black</v>
      </c>
    </row>
    <row r="57" ht="14.25" customHeight="1">
      <c r="A57" s="1" t="s">
        <v>1221</v>
      </c>
      <c r="B57" s="1" t="s">
        <v>233</v>
      </c>
      <c r="C57" s="1" t="s">
        <v>5</v>
      </c>
      <c r="D57" s="1" t="s">
        <v>1222</v>
      </c>
      <c r="F57" s="1" t="str">
        <f>IFERROR(__xludf.DUMMYFUNCTION("""COMPUTED_VALUE"""),"166958")</f>
        <v>166958</v>
      </c>
      <c r="G57" s="4" t="str">
        <f t="shared" si="1"/>
        <v>08/27/2023</v>
      </c>
      <c r="H57" s="4" t="str">
        <f t="shared" si="2"/>
        <v>5/2/1947</v>
      </c>
      <c r="I57" s="4" t="str">
        <f t="shared" si="3"/>
        <v>Platinum</v>
      </c>
      <c r="J57" s="4" t="str">
        <f t="shared" si="4"/>
        <v>Black</v>
      </c>
    </row>
    <row r="58" ht="14.25" customHeight="1">
      <c r="A58" s="1" t="s">
        <v>1221</v>
      </c>
      <c r="B58" s="1" t="s">
        <v>233</v>
      </c>
      <c r="C58" s="1" t="s">
        <v>6</v>
      </c>
      <c r="D58" s="1" t="s">
        <v>21</v>
      </c>
      <c r="F58" s="1" t="str">
        <f>IFERROR(__xludf.DUMMYFUNCTION("""COMPUTED_VALUE"""),"222493")</f>
        <v>222493</v>
      </c>
      <c r="G58" s="4" t="str">
        <f t="shared" si="1"/>
        <v>08/2/2023</v>
      </c>
      <c r="H58" s="4" t="str">
        <f t="shared" si="2"/>
        <v>12/6/1941</v>
      </c>
      <c r="I58" s="4" t="str">
        <f t="shared" si="3"/>
        <v>Platinum</v>
      </c>
      <c r="J58" s="4" t="str">
        <f t="shared" si="4"/>
        <v>Asian</v>
      </c>
    </row>
    <row r="59" ht="14.25" customHeight="1">
      <c r="A59" s="1" t="s">
        <v>1223</v>
      </c>
      <c r="B59" s="1" t="s">
        <v>203</v>
      </c>
      <c r="C59" s="1" t="s">
        <v>7</v>
      </c>
      <c r="D59" s="1" t="s">
        <v>9</v>
      </c>
      <c r="F59" s="1" t="str">
        <f>IFERROR(__xludf.DUMMYFUNCTION("""COMPUTED_VALUE"""),"101744")</f>
        <v>101744</v>
      </c>
      <c r="G59" s="4" t="str">
        <f t="shared" si="1"/>
        <v>08/29/2023</v>
      </c>
      <c r="H59" s="4" t="str">
        <f t="shared" si="2"/>
        <v>1/21/1945</v>
      </c>
      <c r="I59" s="4" t="str">
        <f t="shared" si="3"/>
        <v>Basic</v>
      </c>
      <c r="J59" s="4" t="str">
        <f t="shared" si="4"/>
        <v>Asian</v>
      </c>
    </row>
    <row r="60" ht="14.25" customHeight="1">
      <c r="A60" s="1" t="s">
        <v>1223</v>
      </c>
      <c r="B60" s="1" t="s">
        <v>203</v>
      </c>
      <c r="C60" s="1" t="s">
        <v>5</v>
      </c>
      <c r="D60" s="1" t="s">
        <v>1224</v>
      </c>
      <c r="F60" s="1" t="str">
        <f>IFERROR(__xludf.DUMMYFUNCTION("""COMPUTED_VALUE"""),"973817")</f>
        <v>973817</v>
      </c>
      <c r="G60" s="4" t="str">
        <f t="shared" si="1"/>
        <v>08/7/2023</v>
      </c>
      <c r="H60" s="4" t="str">
        <f t="shared" si="2"/>
        <v>7/26/1990</v>
      </c>
      <c r="I60" s="4" t="str">
        <f t="shared" si="3"/>
        <v>Gold</v>
      </c>
      <c r="J60" s="4" t="str">
        <f t="shared" si="4"/>
        <v>Black</v>
      </c>
    </row>
    <row r="61" ht="14.25" customHeight="1">
      <c r="A61" s="1" t="s">
        <v>1223</v>
      </c>
      <c r="B61" s="1" t="s">
        <v>203</v>
      </c>
      <c r="C61" s="1" t="s">
        <v>6</v>
      </c>
      <c r="D61" s="1" t="s">
        <v>11</v>
      </c>
      <c r="F61" s="1" t="str">
        <f>IFERROR(__xludf.DUMMYFUNCTION("""COMPUTED_VALUE"""),"692114")</f>
        <v>692114</v>
      </c>
      <c r="G61" s="4" t="str">
        <f t="shared" si="1"/>
        <v>08/22/2023</v>
      </c>
      <c r="H61" s="4" t="str">
        <f t="shared" si="2"/>
        <v>9/10/1973</v>
      </c>
      <c r="I61" s="4" t="str">
        <f t="shared" si="3"/>
        <v>Platinum</v>
      </c>
      <c r="J61" s="4" t="str">
        <f t="shared" si="4"/>
        <v>Asian</v>
      </c>
    </row>
    <row r="62" ht="14.25" customHeight="1">
      <c r="A62" s="1" t="s">
        <v>1225</v>
      </c>
      <c r="B62" s="1" t="s">
        <v>200</v>
      </c>
      <c r="C62" s="1" t="s">
        <v>7</v>
      </c>
      <c r="D62" s="1" t="s">
        <v>13</v>
      </c>
      <c r="F62" s="1" t="str">
        <f>IFERROR(__xludf.DUMMYFUNCTION("""COMPUTED_VALUE"""),"896280")</f>
        <v>896280</v>
      </c>
      <c r="G62" s="4" t="str">
        <f t="shared" si="1"/>
        <v>08/6/2023</v>
      </c>
      <c r="H62" s="4" t="str">
        <f t="shared" si="2"/>
        <v>9/24/1996</v>
      </c>
      <c r="I62" s="4" t="str">
        <f t="shared" si="3"/>
        <v>Basic</v>
      </c>
      <c r="J62" s="4" t="str">
        <f t="shared" si="4"/>
        <v>Other</v>
      </c>
    </row>
    <row r="63" ht="14.25" customHeight="1">
      <c r="A63" s="1" t="s">
        <v>1225</v>
      </c>
      <c r="B63" s="1" t="s">
        <v>200</v>
      </c>
      <c r="C63" s="1" t="s">
        <v>5</v>
      </c>
      <c r="D63" s="1" t="s">
        <v>1226</v>
      </c>
      <c r="F63" s="1" t="str">
        <f>IFERROR(__xludf.DUMMYFUNCTION("""COMPUTED_VALUE"""),"610368")</f>
        <v>610368</v>
      </c>
      <c r="G63" s="4" t="str">
        <f t="shared" si="1"/>
        <v>08/22/2023</v>
      </c>
      <c r="H63" s="4" t="str">
        <f t="shared" si="2"/>
        <v>7/15/1965</v>
      </c>
      <c r="I63" s="4" t="str">
        <f t="shared" si="3"/>
        <v>Basic</v>
      </c>
      <c r="J63" s="4" t="str">
        <f t="shared" si="4"/>
        <v>Other</v>
      </c>
    </row>
    <row r="64" ht="14.25" customHeight="1">
      <c r="A64" s="1" t="s">
        <v>1225</v>
      </c>
      <c r="B64" s="1" t="s">
        <v>200</v>
      </c>
      <c r="C64" s="1" t="s">
        <v>6</v>
      </c>
      <c r="D64" s="1" t="s">
        <v>11</v>
      </c>
      <c r="F64" s="1" t="str">
        <f>IFERROR(__xludf.DUMMYFUNCTION("""COMPUTED_VALUE"""),"422091")</f>
        <v>422091</v>
      </c>
      <c r="G64" s="4" t="str">
        <f t="shared" si="1"/>
        <v>08/20/2023</v>
      </c>
      <c r="H64" s="4" t="str">
        <f t="shared" si="2"/>
        <v>3/9/2001</v>
      </c>
      <c r="I64" s="4" t="str">
        <f t="shared" si="3"/>
        <v>Gold</v>
      </c>
      <c r="J64" s="4" t="str">
        <f t="shared" si="4"/>
        <v>Asian</v>
      </c>
    </row>
    <row r="65" ht="14.25" customHeight="1">
      <c r="A65" s="1" t="s">
        <v>1227</v>
      </c>
      <c r="B65" s="1" t="s">
        <v>264</v>
      </c>
      <c r="C65" s="1" t="s">
        <v>7</v>
      </c>
      <c r="D65" s="1" t="s">
        <v>9</v>
      </c>
      <c r="F65" s="1" t="str">
        <f>IFERROR(__xludf.DUMMYFUNCTION("""COMPUTED_VALUE"""),"162027")</f>
        <v>162027</v>
      </c>
      <c r="G65" s="4" t="str">
        <f t="shared" si="1"/>
        <v>08/8/2023</v>
      </c>
      <c r="H65" s="4" t="str">
        <f t="shared" si="2"/>
        <v>3/15/1992</v>
      </c>
      <c r="I65" s="4" t="str">
        <f t="shared" si="3"/>
        <v>Gold</v>
      </c>
      <c r="J65" s="4" t="str">
        <f t="shared" si="4"/>
        <v>Other</v>
      </c>
    </row>
    <row r="66" ht="14.25" customHeight="1">
      <c r="A66" s="1" t="s">
        <v>1227</v>
      </c>
      <c r="B66" s="1" t="s">
        <v>264</v>
      </c>
      <c r="C66" s="1" t="s">
        <v>5</v>
      </c>
      <c r="D66" s="1" t="s">
        <v>1228</v>
      </c>
      <c r="F66" s="1" t="str">
        <f>IFERROR(__xludf.DUMMYFUNCTION("""COMPUTED_VALUE"""),"273251")</f>
        <v>273251</v>
      </c>
      <c r="G66" s="4" t="str">
        <f t="shared" si="1"/>
        <v>08/9/2023</v>
      </c>
      <c r="H66" s="4" t="str">
        <f t="shared" si="2"/>
        <v>3/23/1963</v>
      </c>
      <c r="I66" s="4" t="str">
        <f t="shared" si="3"/>
        <v>Basic</v>
      </c>
      <c r="J66" s="4" t="str">
        <f t="shared" si="4"/>
        <v>Asian</v>
      </c>
    </row>
    <row r="67" ht="14.25" customHeight="1">
      <c r="A67" s="1" t="s">
        <v>1227</v>
      </c>
      <c r="B67" s="1" t="s">
        <v>264</v>
      </c>
      <c r="C67" s="1" t="s">
        <v>6</v>
      </c>
      <c r="D67" s="1" t="s">
        <v>21</v>
      </c>
      <c r="F67" s="1" t="str">
        <f>IFERROR(__xludf.DUMMYFUNCTION("""COMPUTED_VALUE"""),"699074")</f>
        <v>699074</v>
      </c>
      <c r="G67" s="4" t="str">
        <f t="shared" si="1"/>
        <v>08/4/2023</v>
      </c>
      <c r="H67" s="4" t="str">
        <f t="shared" si="2"/>
        <v>8/13/1972</v>
      </c>
      <c r="I67" s="4" t="str">
        <f t="shared" si="3"/>
        <v>Basic</v>
      </c>
      <c r="J67" s="4" t="str">
        <f t="shared" si="4"/>
        <v>Other</v>
      </c>
    </row>
    <row r="68" ht="14.25" customHeight="1">
      <c r="A68" s="1" t="s">
        <v>1229</v>
      </c>
      <c r="B68" s="1" t="s">
        <v>203</v>
      </c>
      <c r="C68" s="1" t="s">
        <v>7</v>
      </c>
      <c r="D68" s="1" t="s">
        <v>25</v>
      </c>
      <c r="F68" s="1" t="str">
        <f>IFERROR(__xludf.DUMMYFUNCTION("""COMPUTED_VALUE"""),"549892")</f>
        <v>549892</v>
      </c>
      <c r="G68" s="4" t="str">
        <f t="shared" si="1"/>
        <v>08/30/2023</v>
      </c>
      <c r="H68" s="4" t="str">
        <f t="shared" si="2"/>
        <v>7/5/1959</v>
      </c>
      <c r="I68" s="4" t="str">
        <f t="shared" si="3"/>
        <v>Gold</v>
      </c>
      <c r="J68" s="4" t="str">
        <f t="shared" si="4"/>
        <v>Asian</v>
      </c>
    </row>
    <row r="69" ht="14.25" customHeight="1">
      <c r="A69" s="1" t="s">
        <v>1229</v>
      </c>
      <c r="B69" s="1" t="s">
        <v>203</v>
      </c>
      <c r="C69" s="1" t="s">
        <v>5</v>
      </c>
      <c r="D69" s="1" t="s">
        <v>1230</v>
      </c>
      <c r="F69" s="1" t="str">
        <f>IFERROR(__xludf.DUMMYFUNCTION("""COMPUTED_VALUE"""),"472221")</f>
        <v>472221</v>
      </c>
      <c r="G69" s="4" t="str">
        <f t="shared" si="1"/>
        <v>08/17/2023</v>
      </c>
      <c r="H69" s="4" t="str">
        <f t="shared" si="2"/>
        <v>10/12/1994</v>
      </c>
      <c r="I69" s="4" t="str">
        <f t="shared" si="3"/>
        <v>Platinum</v>
      </c>
      <c r="J69" s="4" t="str">
        <f t="shared" si="4"/>
        <v>White</v>
      </c>
    </row>
    <row r="70" ht="14.25" customHeight="1">
      <c r="A70" s="1" t="s">
        <v>1229</v>
      </c>
      <c r="B70" s="1" t="s">
        <v>203</v>
      </c>
      <c r="C70" s="1" t="s">
        <v>6</v>
      </c>
      <c r="D70" s="1" t="s">
        <v>15</v>
      </c>
      <c r="F70" s="1" t="str">
        <f>IFERROR(__xludf.DUMMYFUNCTION("""COMPUTED_VALUE"""),"312324")</f>
        <v>312324</v>
      </c>
      <c r="G70" s="4" t="str">
        <f t="shared" si="1"/>
        <v>08/28/2023</v>
      </c>
      <c r="H70" s="4" t="str">
        <f t="shared" si="2"/>
        <v>8/13/2016</v>
      </c>
      <c r="I70" s="4" t="str">
        <f t="shared" si="3"/>
        <v>Gold</v>
      </c>
      <c r="J70" s="4" t="str">
        <f t="shared" si="4"/>
        <v>White</v>
      </c>
    </row>
    <row r="71" ht="14.25" customHeight="1">
      <c r="A71" s="1" t="s">
        <v>1231</v>
      </c>
      <c r="B71" s="1" t="s">
        <v>463</v>
      </c>
      <c r="C71" s="1" t="s">
        <v>7</v>
      </c>
      <c r="D71" s="1" t="s">
        <v>25</v>
      </c>
      <c r="F71" s="1" t="str">
        <f>IFERROR(__xludf.DUMMYFUNCTION("""COMPUTED_VALUE"""),"935038")</f>
        <v>935038</v>
      </c>
      <c r="G71" s="4" t="str">
        <f t="shared" si="1"/>
        <v>08/28/2023</v>
      </c>
      <c r="H71" s="4" t="str">
        <f t="shared" si="2"/>
        <v>1/24/2007</v>
      </c>
      <c r="I71" s="4" t="str">
        <f t="shared" si="3"/>
        <v>Platinum</v>
      </c>
      <c r="J71" s="4" t="str">
        <f t="shared" si="4"/>
        <v>Black</v>
      </c>
    </row>
    <row r="72" ht="14.25" customHeight="1">
      <c r="A72" s="1" t="s">
        <v>1231</v>
      </c>
      <c r="B72" s="1" t="s">
        <v>463</v>
      </c>
      <c r="C72" s="1" t="s">
        <v>5</v>
      </c>
      <c r="D72" s="1" t="s">
        <v>1232</v>
      </c>
      <c r="F72" s="1" t="str">
        <f>IFERROR(__xludf.DUMMYFUNCTION("""COMPUTED_VALUE"""),"883835")</f>
        <v>883835</v>
      </c>
      <c r="G72" s="4" t="str">
        <f t="shared" si="1"/>
        <v>08/18/2023</v>
      </c>
      <c r="H72" s="4" t="str">
        <f t="shared" si="2"/>
        <v>11/18/1987</v>
      </c>
      <c r="I72" s="4" t="str">
        <f t="shared" si="3"/>
        <v>Gold</v>
      </c>
      <c r="J72" s="4" t="str">
        <f t="shared" si="4"/>
        <v>Asian</v>
      </c>
    </row>
    <row r="73" ht="14.25" customHeight="1">
      <c r="A73" s="1" t="s">
        <v>1231</v>
      </c>
      <c r="B73" s="1" t="s">
        <v>463</v>
      </c>
      <c r="C73" s="1" t="s">
        <v>6</v>
      </c>
      <c r="D73" s="1" t="s">
        <v>15</v>
      </c>
      <c r="F73" s="1" t="str">
        <f>IFERROR(__xludf.DUMMYFUNCTION("""COMPUTED_VALUE"""),"660049")</f>
        <v>660049</v>
      </c>
      <c r="G73" s="4" t="str">
        <f t="shared" si="1"/>
        <v>08/2/2023</v>
      </c>
      <c r="H73" s="4" t="str">
        <f t="shared" si="2"/>
        <v>11/21/1984</v>
      </c>
      <c r="I73" s="4" t="str">
        <f t="shared" si="3"/>
        <v>Basic</v>
      </c>
      <c r="J73" s="4" t="str">
        <f t="shared" si="4"/>
        <v>Asian</v>
      </c>
    </row>
    <row r="74" ht="14.25" customHeight="1">
      <c r="A74" s="1" t="s">
        <v>1233</v>
      </c>
      <c r="B74" s="1" t="s">
        <v>264</v>
      </c>
      <c r="C74" s="1" t="s">
        <v>7</v>
      </c>
      <c r="D74" s="1" t="s">
        <v>13</v>
      </c>
      <c r="F74" s="1" t="str">
        <f>IFERROR(__xludf.DUMMYFUNCTION("""COMPUTED_VALUE"""),"202400")</f>
        <v>202400</v>
      </c>
      <c r="G74" s="4" t="str">
        <f t="shared" si="1"/>
        <v>08/13/2023</v>
      </c>
      <c r="H74" s="4" t="str">
        <f t="shared" si="2"/>
        <v>6/28/1962</v>
      </c>
      <c r="I74" s="4" t="str">
        <f t="shared" si="3"/>
        <v>Basic</v>
      </c>
      <c r="J74" s="4" t="str">
        <f t="shared" si="4"/>
        <v>White</v>
      </c>
    </row>
    <row r="75" ht="14.25" customHeight="1">
      <c r="A75" s="1" t="s">
        <v>1233</v>
      </c>
      <c r="B75" s="1" t="s">
        <v>264</v>
      </c>
      <c r="C75" s="1" t="s">
        <v>5</v>
      </c>
      <c r="D75" s="1" t="s">
        <v>1234</v>
      </c>
      <c r="F75" s="1" t="str">
        <f>IFERROR(__xludf.DUMMYFUNCTION("""COMPUTED_VALUE"""),"478868")</f>
        <v>478868</v>
      </c>
      <c r="G75" s="4" t="str">
        <f t="shared" si="1"/>
        <v>08/15/2023</v>
      </c>
      <c r="H75" s="4" t="str">
        <f t="shared" si="2"/>
        <v>10/27/1958</v>
      </c>
      <c r="I75" s="4" t="str">
        <f t="shared" si="3"/>
        <v>Gold</v>
      </c>
      <c r="J75" s="4" t="str">
        <f t="shared" si="4"/>
        <v>Other</v>
      </c>
    </row>
    <row r="76" ht="14.25" customHeight="1">
      <c r="A76" s="1" t="s">
        <v>1233</v>
      </c>
      <c r="B76" s="1" t="s">
        <v>264</v>
      </c>
      <c r="C76" s="1" t="s">
        <v>6</v>
      </c>
      <c r="D76" s="1" t="s">
        <v>15</v>
      </c>
      <c r="F76" s="1" t="str">
        <f>IFERROR(__xludf.DUMMYFUNCTION("""COMPUTED_VALUE"""),"593067")</f>
        <v>593067</v>
      </c>
      <c r="G76" s="4" t="str">
        <f t="shared" si="1"/>
        <v>08/20/2023</v>
      </c>
      <c r="H76" s="4" t="str">
        <f t="shared" si="2"/>
        <v>10/1/2019</v>
      </c>
      <c r="I76" s="4" t="str">
        <f t="shared" si="3"/>
        <v>Gold</v>
      </c>
      <c r="J76" s="4" t="str">
        <f t="shared" si="4"/>
        <v>Black</v>
      </c>
    </row>
    <row r="77" ht="14.25" customHeight="1">
      <c r="A77" s="1" t="s">
        <v>1235</v>
      </c>
      <c r="B77" s="1" t="s">
        <v>211</v>
      </c>
      <c r="C77" s="1" t="s">
        <v>7</v>
      </c>
      <c r="D77" s="1" t="s">
        <v>19</v>
      </c>
      <c r="F77" s="1" t="str">
        <f>IFERROR(__xludf.DUMMYFUNCTION("""COMPUTED_VALUE"""),"982613")</f>
        <v>982613</v>
      </c>
      <c r="G77" s="4" t="str">
        <f t="shared" si="1"/>
        <v>08/23/2023</v>
      </c>
      <c r="H77" s="4" t="str">
        <f t="shared" si="2"/>
        <v>5/29/1949</v>
      </c>
      <c r="I77" s="4" t="str">
        <f t="shared" si="3"/>
        <v>Platinum</v>
      </c>
      <c r="J77" s="4" t="str">
        <f t="shared" si="4"/>
        <v>White</v>
      </c>
    </row>
    <row r="78" ht="14.25" customHeight="1">
      <c r="A78" s="1" t="s">
        <v>1235</v>
      </c>
      <c r="B78" s="1" t="s">
        <v>211</v>
      </c>
      <c r="C78" s="1" t="s">
        <v>5</v>
      </c>
      <c r="D78" s="1" t="s">
        <v>1236</v>
      </c>
      <c r="F78" s="1" t="str">
        <f>IFERROR(__xludf.DUMMYFUNCTION("""COMPUTED_VALUE"""),"786474")</f>
        <v>786474</v>
      </c>
      <c r="G78" s="4" t="str">
        <f t="shared" si="1"/>
        <v>08/19/2023</v>
      </c>
      <c r="H78" s="4" t="str">
        <f t="shared" si="2"/>
        <v>4/5/1992</v>
      </c>
      <c r="I78" s="4" t="str">
        <f t="shared" si="3"/>
        <v>Gold</v>
      </c>
      <c r="J78" s="4" t="str">
        <f t="shared" si="4"/>
        <v>Other</v>
      </c>
    </row>
    <row r="79" ht="14.25" customHeight="1">
      <c r="A79" s="1" t="s">
        <v>1235</v>
      </c>
      <c r="B79" s="1" t="s">
        <v>211</v>
      </c>
      <c r="C79" s="1" t="s">
        <v>6</v>
      </c>
      <c r="D79" s="1" t="s">
        <v>11</v>
      </c>
      <c r="F79" s="1" t="str">
        <f>IFERROR(__xludf.DUMMYFUNCTION("""COMPUTED_VALUE"""),"485343")</f>
        <v>485343</v>
      </c>
      <c r="G79" s="4" t="str">
        <f t="shared" si="1"/>
        <v>08/14/2023</v>
      </c>
      <c r="H79" s="4" t="str">
        <f t="shared" si="2"/>
        <v>6/21/1945</v>
      </c>
      <c r="I79" s="4" t="str">
        <f t="shared" si="3"/>
        <v>Gold</v>
      </c>
      <c r="J79" s="4" t="str">
        <f t="shared" si="4"/>
        <v>Other</v>
      </c>
    </row>
    <row r="80" ht="14.25" customHeight="1">
      <c r="A80" s="1" t="s">
        <v>1237</v>
      </c>
      <c r="B80" s="1" t="s">
        <v>292</v>
      </c>
      <c r="C80" s="1" t="s">
        <v>7</v>
      </c>
      <c r="D80" s="1" t="s">
        <v>9</v>
      </c>
      <c r="F80" s="1" t="str">
        <f>IFERROR(__xludf.DUMMYFUNCTION("""COMPUTED_VALUE"""),"717582")</f>
        <v>717582</v>
      </c>
      <c r="G80" s="4" t="str">
        <f t="shared" si="1"/>
        <v>08/10/2023</v>
      </c>
      <c r="H80" s="4" t="str">
        <f t="shared" si="2"/>
        <v>8/5/1950</v>
      </c>
      <c r="I80" s="4" t="str">
        <f t="shared" si="3"/>
        <v>Basic</v>
      </c>
      <c r="J80" s="4" t="str">
        <f t="shared" si="4"/>
        <v>Other</v>
      </c>
    </row>
    <row r="81" ht="14.25" customHeight="1">
      <c r="A81" s="1" t="s">
        <v>1237</v>
      </c>
      <c r="B81" s="1" t="s">
        <v>292</v>
      </c>
      <c r="C81" s="1" t="s">
        <v>5</v>
      </c>
      <c r="D81" s="1" t="s">
        <v>1238</v>
      </c>
      <c r="F81" s="1" t="str">
        <f>IFERROR(__xludf.DUMMYFUNCTION("""COMPUTED_VALUE"""),"332370")</f>
        <v>332370</v>
      </c>
      <c r="G81" s="4" t="str">
        <f t="shared" si="1"/>
        <v>08/21/2023</v>
      </c>
      <c r="H81" s="4" t="str">
        <f t="shared" si="2"/>
        <v>10/26/2002</v>
      </c>
      <c r="I81" s="4" t="str">
        <f t="shared" si="3"/>
        <v>Basic</v>
      </c>
      <c r="J81" s="4" t="str">
        <f t="shared" si="4"/>
        <v>White</v>
      </c>
    </row>
    <row r="82" ht="14.25" customHeight="1">
      <c r="A82" s="1" t="s">
        <v>1237</v>
      </c>
      <c r="B82" s="1" t="s">
        <v>292</v>
      </c>
      <c r="C82" s="1" t="s">
        <v>6</v>
      </c>
      <c r="D82" s="1" t="s">
        <v>15</v>
      </c>
      <c r="F82" s="1" t="str">
        <f>IFERROR(__xludf.DUMMYFUNCTION("""COMPUTED_VALUE"""),"146884")</f>
        <v>146884</v>
      </c>
      <c r="G82" s="4" t="str">
        <f t="shared" si="1"/>
        <v>08/24/2023</v>
      </c>
      <c r="H82" s="4" t="str">
        <f t="shared" si="2"/>
        <v>5/19/1961</v>
      </c>
      <c r="I82" s="4" t="str">
        <f t="shared" si="3"/>
        <v>Basic</v>
      </c>
      <c r="J82" s="4" t="str">
        <f t="shared" si="4"/>
        <v>Black</v>
      </c>
    </row>
    <row r="83" ht="14.25" customHeight="1">
      <c r="A83" s="1" t="s">
        <v>1239</v>
      </c>
      <c r="B83" s="1" t="s">
        <v>472</v>
      </c>
      <c r="C83" s="1" t="s">
        <v>7</v>
      </c>
      <c r="D83" s="1" t="s">
        <v>9</v>
      </c>
      <c r="F83" s="1" t="str">
        <f>IFERROR(__xludf.DUMMYFUNCTION("""COMPUTED_VALUE"""),"698848")</f>
        <v>698848</v>
      </c>
      <c r="G83" s="4" t="str">
        <f t="shared" si="1"/>
        <v>08/28/2023</v>
      </c>
      <c r="H83" s="4" t="str">
        <f t="shared" si="2"/>
        <v>5/8/1970</v>
      </c>
      <c r="I83" s="4" t="str">
        <f t="shared" si="3"/>
        <v>Platinum</v>
      </c>
      <c r="J83" s="4" t="str">
        <f t="shared" si="4"/>
        <v>White</v>
      </c>
    </row>
    <row r="84" ht="14.25" customHeight="1">
      <c r="A84" s="1" t="s">
        <v>1239</v>
      </c>
      <c r="B84" s="1" t="s">
        <v>472</v>
      </c>
      <c r="C84" s="1" t="s">
        <v>5</v>
      </c>
      <c r="D84" s="1" t="s">
        <v>1178</v>
      </c>
      <c r="F84" s="1" t="str">
        <f>IFERROR(__xludf.DUMMYFUNCTION("""COMPUTED_VALUE"""),"720947")</f>
        <v>720947</v>
      </c>
      <c r="G84" s="4" t="str">
        <f t="shared" si="1"/>
        <v>08/19/2023</v>
      </c>
      <c r="H84" s="4" t="str">
        <f t="shared" si="2"/>
        <v>11/17/1997</v>
      </c>
      <c r="I84" s="4" t="str">
        <f t="shared" si="3"/>
        <v>Basic</v>
      </c>
      <c r="J84" s="4" t="str">
        <f t="shared" si="4"/>
        <v>Other</v>
      </c>
    </row>
    <row r="85" ht="14.25" customHeight="1">
      <c r="A85" s="1" t="s">
        <v>1239</v>
      </c>
      <c r="B85" s="1" t="s">
        <v>472</v>
      </c>
      <c r="C85" s="1" t="s">
        <v>6</v>
      </c>
      <c r="D85" s="1" t="s">
        <v>15</v>
      </c>
      <c r="F85" s="1" t="str">
        <f>IFERROR(__xludf.DUMMYFUNCTION("""COMPUTED_VALUE"""),"168221")</f>
        <v>168221</v>
      </c>
      <c r="G85" s="4" t="str">
        <f t="shared" si="1"/>
        <v>08/17/2023</v>
      </c>
      <c r="H85" s="4" t="str">
        <f t="shared" si="2"/>
        <v>2/26/2003</v>
      </c>
      <c r="I85" s="4" t="str">
        <f t="shared" si="3"/>
        <v>Gold</v>
      </c>
      <c r="J85" s="4" t="str">
        <f t="shared" si="4"/>
        <v>Other</v>
      </c>
    </row>
    <row r="86" ht="14.25" customHeight="1">
      <c r="A86" s="1" t="s">
        <v>1240</v>
      </c>
      <c r="B86" s="1" t="s">
        <v>472</v>
      </c>
      <c r="C86" s="1" t="s">
        <v>7</v>
      </c>
      <c r="D86" s="1" t="s">
        <v>13</v>
      </c>
      <c r="F86" s="1" t="str">
        <f>IFERROR(__xludf.DUMMYFUNCTION("""COMPUTED_VALUE"""),"900582")</f>
        <v>900582</v>
      </c>
      <c r="G86" s="4" t="str">
        <f t="shared" si="1"/>
        <v>08/29/2023</v>
      </c>
      <c r="H86" s="4" t="str">
        <f t="shared" si="2"/>
        <v>12/9/1963</v>
      </c>
      <c r="I86" s="4" t="str">
        <f t="shared" si="3"/>
        <v>Gold</v>
      </c>
      <c r="J86" s="4" t="str">
        <f t="shared" si="4"/>
        <v>Asian</v>
      </c>
    </row>
    <row r="87" ht="14.25" customHeight="1">
      <c r="A87" s="1" t="s">
        <v>1240</v>
      </c>
      <c r="B87" s="1" t="s">
        <v>472</v>
      </c>
      <c r="C87" s="1" t="s">
        <v>5</v>
      </c>
      <c r="D87" s="1" t="s">
        <v>1241</v>
      </c>
      <c r="F87" s="1" t="str">
        <f>IFERROR(__xludf.DUMMYFUNCTION("""COMPUTED_VALUE"""),"333873")</f>
        <v>333873</v>
      </c>
      <c r="G87" s="4" t="str">
        <f t="shared" si="1"/>
        <v>08/16/2023</v>
      </c>
      <c r="H87" s="4" t="str">
        <f t="shared" si="2"/>
        <v>8/31/1994</v>
      </c>
      <c r="I87" s="4" t="str">
        <f t="shared" si="3"/>
        <v>Platinum</v>
      </c>
      <c r="J87" s="4" t="str">
        <f t="shared" si="4"/>
        <v>Black</v>
      </c>
    </row>
    <row r="88" ht="14.25" customHeight="1">
      <c r="A88" s="1" t="s">
        <v>1240</v>
      </c>
      <c r="B88" s="1" t="s">
        <v>472</v>
      </c>
      <c r="C88" s="1" t="s">
        <v>6</v>
      </c>
      <c r="D88" s="1" t="s">
        <v>15</v>
      </c>
      <c r="F88" s="1"/>
    </row>
    <row r="89" ht="14.25" customHeight="1">
      <c r="A89" s="1" t="s">
        <v>1242</v>
      </c>
      <c r="B89" s="1" t="s">
        <v>200</v>
      </c>
      <c r="C89" s="1" t="s">
        <v>7</v>
      </c>
      <c r="D89" s="1" t="s">
        <v>19</v>
      </c>
    </row>
    <row r="90" ht="14.25" customHeight="1">
      <c r="A90" s="1" t="s">
        <v>1242</v>
      </c>
      <c r="B90" s="1" t="s">
        <v>200</v>
      </c>
      <c r="C90" s="1" t="s">
        <v>5</v>
      </c>
      <c r="D90" s="1" t="s">
        <v>1243</v>
      </c>
    </row>
    <row r="91" ht="14.25" customHeight="1">
      <c r="A91" s="1" t="s">
        <v>1242</v>
      </c>
      <c r="B91" s="1" t="s">
        <v>200</v>
      </c>
      <c r="C91" s="1" t="s">
        <v>6</v>
      </c>
      <c r="D91" s="1" t="s">
        <v>15</v>
      </c>
    </row>
    <row r="92" ht="14.25" customHeight="1">
      <c r="A92" s="1" t="s">
        <v>1244</v>
      </c>
      <c r="B92" s="1" t="s">
        <v>310</v>
      </c>
      <c r="C92" s="1" t="s">
        <v>7</v>
      </c>
      <c r="D92" s="1" t="s">
        <v>25</v>
      </c>
    </row>
    <row r="93" ht="14.25" customHeight="1">
      <c r="A93" s="1" t="s">
        <v>1244</v>
      </c>
      <c r="B93" s="1" t="s">
        <v>310</v>
      </c>
      <c r="C93" s="1" t="s">
        <v>5</v>
      </c>
      <c r="D93" s="1" t="s">
        <v>1245</v>
      </c>
    </row>
    <row r="94" ht="14.25" customHeight="1">
      <c r="A94" s="1" t="s">
        <v>1244</v>
      </c>
      <c r="B94" s="1" t="s">
        <v>310</v>
      </c>
      <c r="C94" s="1" t="s">
        <v>6</v>
      </c>
      <c r="D94" s="1" t="s">
        <v>11</v>
      </c>
    </row>
    <row r="95" ht="14.25" customHeight="1">
      <c r="A95" s="1" t="s">
        <v>1246</v>
      </c>
      <c r="B95" s="1" t="s">
        <v>197</v>
      </c>
      <c r="C95" s="1" t="s">
        <v>7</v>
      </c>
      <c r="D95" s="1" t="s">
        <v>9</v>
      </c>
    </row>
    <row r="96" ht="14.25" customHeight="1">
      <c r="A96" s="1" t="s">
        <v>1246</v>
      </c>
      <c r="B96" s="1" t="s">
        <v>197</v>
      </c>
      <c r="C96" s="1" t="s">
        <v>5</v>
      </c>
      <c r="D96" s="1" t="s">
        <v>1247</v>
      </c>
    </row>
    <row r="97" ht="14.25" customHeight="1">
      <c r="A97" s="1" t="s">
        <v>1246</v>
      </c>
      <c r="B97" s="1" t="s">
        <v>197</v>
      </c>
      <c r="C97" s="1" t="s">
        <v>6</v>
      </c>
      <c r="D97" s="1" t="s">
        <v>11</v>
      </c>
    </row>
    <row r="98" ht="14.25" customHeight="1">
      <c r="A98" s="1" t="s">
        <v>1248</v>
      </c>
      <c r="B98" s="1" t="s">
        <v>182</v>
      </c>
      <c r="C98" s="1" t="s">
        <v>7</v>
      </c>
      <c r="D98" s="1" t="s">
        <v>13</v>
      </c>
    </row>
    <row r="99" ht="14.25" customHeight="1">
      <c r="A99" s="1" t="s">
        <v>1248</v>
      </c>
      <c r="B99" s="1" t="s">
        <v>182</v>
      </c>
      <c r="C99" s="1" t="s">
        <v>5</v>
      </c>
      <c r="D99" s="1" t="s">
        <v>1249</v>
      </c>
    </row>
    <row r="100" ht="14.25" customHeight="1">
      <c r="A100" s="1" t="s">
        <v>1248</v>
      </c>
      <c r="B100" s="1" t="s">
        <v>182</v>
      </c>
      <c r="C100" s="1" t="s">
        <v>6</v>
      </c>
      <c r="D100" s="1" t="s">
        <v>11</v>
      </c>
    </row>
    <row r="101" ht="14.25" customHeight="1">
      <c r="A101" s="1" t="s">
        <v>1250</v>
      </c>
      <c r="B101" s="1" t="s">
        <v>310</v>
      </c>
      <c r="C101" s="1" t="s">
        <v>7</v>
      </c>
      <c r="D101" s="1" t="s">
        <v>25</v>
      </c>
    </row>
    <row r="102" ht="14.25" customHeight="1">
      <c r="A102" s="1" t="s">
        <v>1250</v>
      </c>
      <c r="B102" s="1" t="s">
        <v>310</v>
      </c>
      <c r="C102" s="1" t="s">
        <v>5</v>
      </c>
      <c r="D102" s="1" t="s">
        <v>1251</v>
      </c>
    </row>
    <row r="103" ht="14.25" customHeight="1">
      <c r="A103" s="1" t="s">
        <v>1250</v>
      </c>
      <c r="B103" s="1" t="s">
        <v>310</v>
      </c>
      <c r="C103" s="1" t="s">
        <v>6</v>
      </c>
      <c r="D103" s="1" t="s">
        <v>21</v>
      </c>
    </row>
    <row r="104" ht="14.25" customHeight="1">
      <c r="A104" s="1" t="s">
        <v>1252</v>
      </c>
      <c r="B104" s="1" t="s">
        <v>208</v>
      </c>
      <c r="C104" s="1" t="s">
        <v>7</v>
      </c>
      <c r="D104" s="1" t="s">
        <v>25</v>
      </c>
    </row>
    <row r="105" ht="14.25" customHeight="1">
      <c r="A105" s="1" t="s">
        <v>1252</v>
      </c>
      <c r="B105" s="1" t="s">
        <v>208</v>
      </c>
      <c r="C105" s="1" t="s">
        <v>5</v>
      </c>
      <c r="D105" s="1" t="s">
        <v>1253</v>
      </c>
    </row>
    <row r="106" ht="14.25" customHeight="1">
      <c r="A106" s="1" t="s">
        <v>1252</v>
      </c>
      <c r="B106" s="1" t="s">
        <v>208</v>
      </c>
      <c r="C106" s="1" t="s">
        <v>6</v>
      </c>
      <c r="D106" s="1" t="s">
        <v>21</v>
      </c>
    </row>
    <row r="107" ht="14.25" customHeight="1">
      <c r="A107" s="1" t="s">
        <v>1254</v>
      </c>
      <c r="B107" s="1" t="s">
        <v>182</v>
      </c>
      <c r="C107" s="1" t="s">
        <v>7</v>
      </c>
      <c r="D107" s="1" t="s">
        <v>9</v>
      </c>
    </row>
    <row r="108" ht="14.25" customHeight="1">
      <c r="A108" s="1" t="s">
        <v>1254</v>
      </c>
      <c r="B108" s="1" t="s">
        <v>182</v>
      </c>
      <c r="C108" s="1" t="s">
        <v>5</v>
      </c>
      <c r="D108" s="1" t="s">
        <v>1255</v>
      </c>
    </row>
    <row r="109" ht="14.25" customHeight="1">
      <c r="A109" s="1" t="s">
        <v>1254</v>
      </c>
      <c r="B109" s="1" t="s">
        <v>182</v>
      </c>
      <c r="C109" s="1" t="s">
        <v>6</v>
      </c>
      <c r="D109" s="1" t="s">
        <v>15</v>
      </c>
    </row>
    <row r="110" ht="14.25" customHeight="1">
      <c r="A110" s="1" t="s">
        <v>1256</v>
      </c>
      <c r="B110" s="1" t="s">
        <v>194</v>
      </c>
      <c r="C110" s="1" t="s">
        <v>7</v>
      </c>
      <c r="D110" s="1" t="s">
        <v>19</v>
      </c>
    </row>
    <row r="111" ht="14.25" customHeight="1">
      <c r="A111" s="1" t="s">
        <v>1256</v>
      </c>
      <c r="B111" s="1" t="s">
        <v>194</v>
      </c>
      <c r="C111" s="1" t="s">
        <v>5</v>
      </c>
      <c r="D111" s="1" t="s">
        <v>1257</v>
      </c>
    </row>
    <row r="112" ht="14.25" customHeight="1">
      <c r="A112" s="1" t="s">
        <v>1256</v>
      </c>
      <c r="B112" s="1" t="s">
        <v>194</v>
      </c>
      <c r="C112" s="1" t="s">
        <v>6</v>
      </c>
      <c r="D112" s="1" t="s">
        <v>21</v>
      </c>
    </row>
    <row r="113" ht="14.25" customHeight="1">
      <c r="A113" s="1" t="s">
        <v>1258</v>
      </c>
      <c r="B113" s="1" t="s">
        <v>211</v>
      </c>
      <c r="C113" s="1" t="s">
        <v>7</v>
      </c>
      <c r="D113" s="1" t="s">
        <v>13</v>
      </c>
    </row>
    <row r="114" ht="14.25" customHeight="1">
      <c r="A114" s="1" t="s">
        <v>1258</v>
      </c>
      <c r="B114" s="1" t="s">
        <v>211</v>
      </c>
      <c r="C114" s="1" t="s">
        <v>5</v>
      </c>
      <c r="D114" s="1" t="s">
        <v>1259</v>
      </c>
    </row>
    <row r="115" ht="14.25" customHeight="1">
      <c r="A115" s="1" t="s">
        <v>1258</v>
      </c>
      <c r="B115" s="1" t="s">
        <v>211</v>
      </c>
      <c r="C115" s="1" t="s">
        <v>6</v>
      </c>
      <c r="D115" s="1" t="s">
        <v>11</v>
      </c>
    </row>
    <row r="116" ht="14.25" customHeight="1">
      <c r="A116" s="1" t="s">
        <v>1260</v>
      </c>
      <c r="B116" s="1" t="s">
        <v>230</v>
      </c>
      <c r="C116" s="1" t="s">
        <v>7</v>
      </c>
      <c r="D116" s="1" t="s">
        <v>9</v>
      </c>
    </row>
    <row r="117" ht="14.25" customHeight="1">
      <c r="A117" s="1" t="s">
        <v>1260</v>
      </c>
      <c r="B117" s="1" t="s">
        <v>230</v>
      </c>
      <c r="C117" s="1" t="s">
        <v>5</v>
      </c>
      <c r="D117" s="1" t="s">
        <v>1261</v>
      </c>
    </row>
    <row r="118" ht="14.25" customHeight="1">
      <c r="A118" s="1" t="s">
        <v>1260</v>
      </c>
      <c r="B118" s="1" t="s">
        <v>230</v>
      </c>
      <c r="C118" s="1" t="s">
        <v>6</v>
      </c>
      <c r="D118" s="1" t="s">
        <v>21</v>
      </c>
    </row>
    <row r="119" ht="14.25" customHeight="1">
      <c r="A119" s="1" t="s">
        <v>1262</v>
      </c>
      <c r="B119" s="1" t="s">
        <v>273</v>
      </c>
      <c r="C119" s="1" t="s">
        <v>7</v>
      </c>
      <c r="D119" s="1" t="s">
        <v>25</v>
      </c>
    </row>
    <row r="120" ht="14.25" customHeight="1">
      <c r="A120" s="1" t="s">
        <v>1262</v>
      </c>
      <c r="B120" s="1" t="s">
        <v>273</v>
      </c>
      <c r="C120" s="1" t="s">
        <v>5</v>
      </c>
      <c r="D120" s="1" t="s">
        <v>1263</v>
      </c>
    </row>
    <row r="121" ht="14.25" customHeight="1">
      <c r="A121" s="1" t="s">
        <v>1262</v>
      </c>
      <c r="B121" s="1" t="s">
        <v>273</v>
      </c>
      <c r="C121" s="1" t="s">
        <v>6</v>
      </c>
      <c r="D121" s="1" t="s">
        <v>15</v>
      </c>
    </row>
    <row r="122" ht="14.25" customHeight="1">
      <c r="A122" s="1" t="s">
        <v>1264</v>
      </c>
      <c r="B122" s="1" t="s">
        <v>307</v>
      </c>
      <c r="C122" s="1" t="s">
        <v>7</v>
      </c>
      <c r="D122" s="1" t="s">
        <v>9</v>
      </c>
    </row>
    <row r="123" ht="14.25" customHeight="1">
      <c r="A123" s="1" t="s">
        <v>1264</v>
      </c>
      <c r="B123" s="1" t="s">
        <v>307</v>
      </c>
      <c r="C123" s="1" t="s">
        <v>5</v>
      </c>
      <c r="D123" s="1" t="s">
        <v>1265</v>
      </c>
    </row>
    <row r="124" ht="14.25" customHeight="1">
      <c r="A124" s="1" t="s">
        <v>1264</v>
      </c>
      <c r="B124" s="1" t="s">
        <v>307</v>
      </c>
      <c r="C124" s="1" t="s">
        <v>6</v>
      </c>
      <c r="D124" s="1" t="s">
        <v>11</v>
      </c>
    </row>
    <row r="125" ht="14.25" customHeight="1">
      <c r="A125" s="1" t="s">
        <v>1266</v>
      </c>
      <c r="B125" s="1" t="s">
        <v>307</v>
      </c>
      <c r="C125" s="1" t="s">
        <v>7</v>
      </c>
      <c r="D125" s="1" t="s">
        <v>9</v>
      </c>
    </row>
    <row r="126" ht="14.25" customHeight="1">
      <c r="A126" s="1" t="s">
        <v>1266</v>
      </c>
      <c r="B126" s="1" t="s">
        <v>307</v>
      </c>
      <c r="C126" s="1" t="s">
        <v>5</v>
      </c>
      <c r="D126" s="1" t="s">
        <v>1267</v>
      </c>
    </row>
    <row r="127" ht="14.25" customHeight="1">
      <c r="A127" s="1" t="s">
        <v>1266</v>
      </c>
      <c r="B127" s="1" t="s">
        <v>307</v>
      </c>
      <c r="C127" s="1" t="s">
        <v>6</v>
      </c>
      <c r="D127" s="1" t="s">
        <v>15</v>
      </c>
    </row>
    <row r="128" ht="14.25" customHeight="1">
      <c r="A128" s="1" t="s">
        <v>1268</v>
      </c>
      <c r="B128" s="1" t="s">
        <v>463</v>
      </c>
      <c r="C128" s="1" t="s">
        <v>7</v>
      </c>
      <c r="D128" s="1" t="s">
        <v>19</v>
      </c>
    </row>
    <row r="129" ht="14.25" customHeight="1">
      <c r="A129" s="1" t="s">
        <v>1268</v>
      </c>
      <c r="B129" s="1" t="s">
        <v>463</v>
      </c>
      <c r="C129" s="1" t="s">
        <v>5</v>
      </c>
      <c r="D129" s="1" t="s">
        <v>1269</v>
      </c>
    </row>
    <row r="130" ht="14.25" customHeight="1">
      <c r="A130" s="1" t="s">
        <v>1268</v>
      </c>
      <c r="B130" s="1" t="s">
        <v>463</v>
      </c>
      <c r="C130" s="1" t="s">
        <v>6</v>
      </c>
      <c r="D130" s="1" t="s">
        <v>21</v>
      </c>
    </row>
    <row r="131" ht="14.25" customHeight="1">
      <c r="A131" s="1" t="s">
        <v>1270</v>
      </c>
      <c r="B131" s="1" t="s">
        <v>264</v>
      </c>
      <c r="C131" s="1" t="s">
        <v>7</v>
      </c>
      <c r="D131" s="1" t="s">
        <v>25</v>
      </c>
    </row>
    <row r="132" ht="14.25" customHeight="1">
      <c r="A132" s="1" t="s">
        <v>1270</v>
      </c>
      <c r="B132" s="1" t="s">
        <v>264</v>
      </c>
      <c r="C132" s="1" t="s">
        <v>5</v>
      </c>
      <c r="D132" s="1" t="s">
        <v>1271</v>
      </c>
    </row>
    <row r="133" ht="14.25" customHeight="1">
      <c r="A133" s="1" t="s">
        <v>1270</v>
      </c>
      <c r="B133" s="1" t="s">
        <v>264</v>
      </c>
      <c r="C133" s="1" t="s">
        <v>6</v>
      </c>
      <c r="D133" s="1" t="s">
        <v>15</v>
      </c>
    </row>
    <row r="134" ht="14.25" customHeight="1">
      <c r="A134" s="1" t="s">
        <v>1272</v>
      </c>
      <c r="B134" s="1" t="s">
        <v>472</v>
      </c>
      <c r="C134" s="1" t="s">
        <v>7</v>
      </c>
      <c r="D134" s="1" t="s">
        <v>25</v>
      </c>
    </row>
    <row r="135" ht="14.25" customHeight="1">
      <c r="A135" s="1" t="s">
        <v>1272</v>
      </c>
      <c r="B135" s="1" t="s">
        <v>472</v>
      </c>
      <c r="C135" s="1" t="s">
        <v>5</v>
      </c>
      <c r="D135" s="1" t="s">
        <v>1273</v>
      </c>
    </row>
    <row r="136" ht="14.25" customHeight="1">
      <c r="A136" s="1" t="s">
        <v>1272</v>
      </c>
      <c r="B136" s="1" t="s">
        <v>472</v>
      </c>
      <c r="C136" s="1" t="s">
        <v>6</v>
      </c>
      <c r="D136" s="1" t="s">
        <v>15</v>
      </c>
    </row>
    <row r="137" ht="14.25" customHeight="1">
      <c r="A137" s="1" t="s">
        <v>1274</v>
      </c>
      <c r="B137" s="1" t="s">
        <v>310</v>
      </c>
      <c r="C137" s="1" t="s">
        <v>7</v>
      </c>
      <c r="D137" s="1" t="s">
        <v>9</v>
      </c>
    </row>
    <row r="138" ht="14.25" customHeight="1">
      <c r="A138" s="1" t="s">
        <v>1274</v>
      </c>
      <c r="B138" s="1" t="s">
        <v>310</v>
      </c>
      <c r="C138" s="1" t="s">
        <v>5</v>
      </c>
      <c r="D138" s="1" t="s">
        <v>1275</v>
      </c>
    </row>
    <row r="139" ht="14.25" customHeight="1">
      <c r="A139" s="1" t="s">
        <v>1274</v>
      </c>
      <c r="B139" s="1" t="s">
        <v>310</v>
      </c>
      <c r="C139" s="1" t="s">
        <v>6</v>
      </c>
      <c r="D139" s="1" t="s">
        <v>21</v>
      </c>
    </row>
    <row r="140" ht="14.25" customHeight="1">
      <c r="A140" s="1" t="s">
        <v>1276</v>
      </c>
      <c r="B140" s="1" t="s">
        <v>317</v>
      </c>
      <c r="C140" s="1" t="s">
        <v>7</v>
      </c>
      <c r="D140" s="1" t="s">
        <v>13</v>
      </c>
    </row>
    <row r="141" ht="14.25" customHeight="1">
      <c r="A141" s="1" t="s">
        <v>1276</v>
      </c>
      <c r="B141" s="1" t="s">
        <v>317</v>
      </c>
      <c r="C141" s="1" t="s">
        <v>5</v>
      </c>
      <c r="D141" s="1" t="s">
        <v>1277</v>
      </c>
    </row>
    <row r="142" ht="14.25" customHeight="1">
      <c r="A142" s="1" t="s">
        <v>1276</v>
      </c>
      <c r="B142" s="1" t="s">
        <v>317</v>
      </c>
      <c r="C142" s="1" t="s">
        <v>6</v>
      </c>
      <c r="D142" s="1" t="s">
        <v>15</v>
      </c>
    </row>
    <row r="143" ht="14.25" customHeight="1">
      <c r="A143" s="1" t="s">
        <v>1278</v>
      </c>
      <c r="B143" s="1" t="s">
        <v>211</v>
      </c>
      <c r="C143" s="1" t="s">
        <v>7</v>
      </c>
      <c r="D143" s="1" t="s">
        <v>9</v>
      </c>
    </row>
    <row r="144" ht="14.25" customHeight="1">
      <c r="A144" s="1" t="s">
        <v>1278</v>
      </c>
      <c r="B144" s="1" t="s">
        <v>211</v>
      </c>
      <c r="C144" s="1" t="s">
        <v>5</v>
      </c>
      <c r="D144" s="1" t="s">
        <v>1279</v>
      </c>
    </row>
    <row r="145" ht="14.25" customHeight="1">
      <c r="A145" s="1" t="s">
        <v>1278</v>
      </c>
      <c r="B145" s="1" t="s">
        <v>211</v>
      </c>
      <c r="C145" s="1" t="s">
        <v>6</v>
      </c>
      <c r="D145" s="1" t="s">
        <v>21</v>
      </c>
    </row>
    <row r="146" ht="14.25" customHeight="1">
      <c r="A146" s="1" t="s">
        <v>1280</v>
      </c>
      <c r="B146" s="1" t="s">
        <v>223</v>
      </c>
      <c r="C146" s="1" t="s">
        <v>7</v>
      </c>
      <c r="D146" s="1" t="s">
        <v>13</v>
      </c>
    </row>
    <row r="147" ht="14.25" customHeight="1">
      <c r="A147" s="1" t="s">
        <v>1280</v>
      </c>
      <c r="B147" s="1" t="s">
        <v>223</v>
      </c>
      <c r="C147" s="1" t="s">
        <v>5</v>
      </c>
      <c r="D147" s="1" t="s">
        <v>1281</v>
      </c>
    </row>
    <row r="148" ht="14.25" customHeight="1">
      <c r="A148" s="1" t="s">
        <v>1280</v>
      </c>
      <c r="B148" s="1" t="s">
        <v>223</v>
      </c>
      <c r="C148" s="1" t="s">
        <v>6</v>
      </c>
      <c r="D148" s="1" t="s">
        <v>21</v>
      </c>
    </row>
    <row r="149" ht="14.25" customHeight="1">
      <c r="A149" s="1" t="s">
        <v>1282</v>
      </c>
      <c r="B149" s="1" t="s">
        <v>194</v>
      </c>
      <c r="C149" s="1" t="s">
        <v>7</v>
      </c>
      <c r="D149" s="1" t="s">
        <v>25</v>
      </c>
    </row>
    <row r="150" ht="14.25" customHeight="1">
      <c r="A150" s="1" t="s">
        <v>1282</v>
      </c>
      <c r="B150" s="1" t="s">
        <v>194</v>
      </c>
      <c r="C150" s="1" t="s">
        <v>5</v>
      </c>
      <c r="D150" s="1" t="s">
        <v>1283</v>
      </c>
    </row>
    <row r="151" ht="14.25" customHeight="1">
      <c r="A151" s="1" t="s">
        <v>1282</v>
      </c>
      <c r="B151" s="1" t="s">
        <v>194</v>
      </c>
      <c r="C151" s="1" t="s">
        <v>6</v>
      </c>
      <c r="D151" s="1" t="s">
        <v>15</v>
      </c>
    </row>
    <row r="152" ht="14.25" customHeight="1">
      <c r="A152" s="1" t="s">
        <v>1284</v>
      </c>
      <c r="B152" s="1" t="s">
        <v>463</v>
      </c>
      <c r="C152" s="1" t="s">
        <v>7</v>
      </c>
      <c r="D152" s="1" t="s">
        <v>25</v>
      </c>
    </row>
    <row r="153" ht="14.25" customHeight="1">
      <c r="A153" s="1" t="s">
        <v>1284</v>
      </c>
      <c r="B153" s="1" t="s">
        <v>463</v>
      </c>
      <c r="C153" s="1" t="s">
        <v>5</v>
      </c>
      <c r="D153" s="1" t="s">
        <v>1285</v>
      </c>
    </row>
    <row r="154" ht="14.25" customHeight="1">
      <c r="A154" s="1" t="s">
        <v>1284</v>
      </c>
      <c r="B154" s="1" t="s">
        <v>463</v>
      </c>
      <c r="C154" s="1" t="s">
        <v>6</v>
      </c>
      <c r="D154" s="1" t="s">
        <v>15</v>
      </c>
    </row>
    <row r="155" ht="14.25" customHeight="1">
      <c r="A155" s="1" t="s">
        <v>1286</v>
      </c>
      <c r="B155" s="1" t="s">
        <v>203</v>
      </c>
      <c r="C155" s="1" t="s">
        <v>7</v>
      </c>
      <c r="D155" s="1" t="s">
        <v>9</v>
      </c>
    </row>
    <row r="156" ht="14.25" customHeight="1">
      <c r="A156" s="1" t="s">
        <v>1286</v>
      </c>
      <c r="B156" s="1" t="s">
        <v>203</v>
      </c>
      <c r="C156" s="1" t="s">
        <v>5</v>
      </c>
      <c r="D156" s="1" t="s">
        <v>1287</v>
      </c>
    </row>
    <row r="157" ht="14.25" customHeight="1">
      <c r="A157" s="1" t="s">
        <v>1286</v>
      </c>
      <c r="B157" s="1" t="s">
        <v>203</v>
      </c>
      <c r="C157" s="1" t="s">
        <v>6</v>
      </c>
      <c r="D157" s="1" t="s">
        <v>11</v>
      </c>
    </row>
    <row r="158" ht="14.25" customHeight="1">
      <c r="A158" s="1" t="s">
        <v>1288</v>
      </c>
      <c r="B158" s="1" t="s">
        <v>230</v>
      </c>
      <c r="C158" s="1" t="s">
        <v>7</v>
      </c>
      <c r="D158" s="1" t="s">
        <v>13</v>
      </c>
    </row>
    <row r="159" ht="14.25" customHeight="1">
      <c r="A159" s="1" t="s">
        <v>1288</v>
      </c>
      <c r="B159" s="1" t="s">
        <v>230</v>
      </c>
      <c r="C159" s="1" t="s">
        <v>5</v>
      </c>
      <c r="D159" s="1" t="s">
        <v>1289</v>
      </c>
    </row>
    <row r="160" ht="14.25" customHeight="1">
      <c r="A160" s="1" t="s">
        <v>1288</v>
      </c>
      <c r="B160" s="1" t="s">
        <v>230</v>
      </c>
      <c r="C160" s="1" t="s">
        <v>6</v>
      </c>
      <c r="D160" s="1" t="s">
        <v>15</v>
      </c>
    </row>
    <row r="161" ht="14.25" customHeight="1">
      <c r="A161" s="1" t="s">
        <v>1290</v>
      </c>
      <c r="B161" s="1" t="s">
        <v>339</v>
      </c>
      <c r="C161" s="1" t="s">
        <v>7</v>
      </c>
      <c r="D161" s="1" t="s">
        <v>25</v>
      </c>
    </row>
    <row r="162" ht="14.25" customHeight="1">
      <c r="A162" s="1" t="s">
        <v>1290</v>
      </c>
      <c r="B162" s="1" t="s">
        <v>339</v>
      </c>
      <c r="C162" s="1" t="s">
        <v>5</v>
      </c>
      <c r="D162" s="1" t="s">
        <v>1291</v>
      </c>
    </row>
    <row r="163" ht="14.25" customHeight="1">
      <c r="A163" s="1" t="s">
        <v>1290</v>
      </c>
      <c r="B163" s="1" t="s">
        <v>339</v>
      </c>
      <c r="C163" s="1" t="s">
        <v>6</v>
      </c>
      <c r="D163" s="1" t="s">
        <v>21</v>
      </c>
    </row>
    <row r="164" ht="14.25" customHeight="1">
      <c r="A164" s="1" t="s">
        <v>1292</v>
      </c>
      <c r="B164" s="1" t="s">
        <v>233</v>
      </c>
      <c r="C164" s="1" t="s">
        <v>7</v>
      </c>
      <c r="D164" s="1" t="s">
        <v>25</v>
      </c>
    </row>
    <row r="165" ht="14.25" customHeight="1">
      <c r="A165" s="1" t="s">
        <v>1292</v>
      </c>
      <c r="B165" s="1" t="s">
        <v>233</v>
      </c>
      <c r="C165" s="1" t="s">
        <v>5</v>
      </c>
      <c r="D165" s="1" t="s">
        <v>1293</v>
      </c>
    </row>
    <row r="166" ht="14.25" customHeight="1">
      <c r="A166" s="1" t="s">
        <v>1292</v>
      </c>
      <c r="B166" s="1" t="s">
        <v>233</v>
      </c>
      <c r="C166" s="1" t="s">
        <v>6</v>
      </c>
      <c r="D166" s="1" t="s">
        <v>11</v>
      </c>
    </row>
    <row r="167" ht="14.25" customHeight="1">
      <c r="A167" s="1" t="s">
        <v>1294</v>
      </c>
      <c r="B167" s="1" t="s">
        <v>203</v>
      </c>
      <c r="C167" s="1" t="s">
        <v>7</v>
      </c>
      <c r="D167" s="1" t="s">
        <v>25</v>
      </c>
    </row>
    <row r="168" ht="14.25" customHeight="1">
      <c r="A168" s="1" t="s">
        <v>1294</v>
      </c>
      <c r="B168" s="1" t="s">
        <v>203</v>
      </c>
      <c r="C168" s="1" t="s">
        <v>5</v>
      </c>
      <c r="D168" s="1" t="s">
        <v>1295</v>
      </c>
    </row>
    <row r="169" ht="14.25" customHeight="1">
      <c r="A169" s="1" t="s">
        <v>1294</v>
      </c>
      <c r="B169" s="1" t="s">
        <v>203</v>
      </c>
      <c r="C169" s="1" t="s">
        <v>6</v>
      </c>
      <c r="D169" s="1" t="s">
        <v>11</v>
      </c>
    </row>
    <row r="170" ht="14.25" customHeight="1">
      <c r="A170" s="1" t="s">
        <v>1296</v>
      </c>
      <c r="B170" s="1" t="s">
        <v>236</v>
      </c>
      <c r="C170" s="1" t="s">
        <v>7</v>
      </c>
      <c r="D170" s="1" t="s">
        <v>19</v>
      </c>
    </row>
    <row r="171" ht="14.25" customHeight="1">
      <c r="A171" s="1" t="s">
        <v>1296</v>
      </c>
      <c r="B171" s="1" t="s">
        <v>236</v>
      </c>
      <c r="C171" s="1" t="s">
        <v>5</v>
      </c>
      <c r="D171" s="1" t="s">
        <v>1297</v>
      </c>
    </row>
    <row r="172" ht="14.25" customHeight="1">
      <c r="A172" s="1" t="s">
        <v>1296</v>
      </c>
      <c r="B172" s="1" t="s">
        <v>236</v>
      </c>
      <c r="C172" s="1" t="s">
        <v>6</v>
      </c>
      <c r="D172" s="1" t="s">
        <v>11</v>
      </c>
    </row>
    <row r="173" ht="14.25" customHeight="1">
      <c r="A173" s="1" t="s">
        <v>1298</v>
      </c>
      <c r="B173" s="1" t="s">
        <v>378</v>
      </c>
      <c r="C173" s="1" t="s">
        <v>7</v>
      </c>
      <c r="D173" s="1" t="s">
        <v>19</v>
      </c>
    </row>
    <row r="174" ht="14.25" customHeight="1">
      <c r="A174" s="1" t="s">
        <v>1298</v>
      </c>
      <c r="B174" s="1" t="s">
        <v>378</v>
      </c>
      <c r="C174" s="1" t="s">
        <v>5</v>
      </c>
      <c r="D174" s="1" t="s">
        <v>1299</v>
      </c>
    </row>
    <row r="175" ht="14.25" customHeight="1">
      <c r="A175" s="1" t="s">
        <v>1298</v>
      </c>
      <c r="B175" s="1" t="s">
        <v>378</v>
      </c>
      <c r="C175" s="1" t="s">
        <v>6</v>
      </c>
      <c r="D175" s="1" t="s">
        <v>21</v>
      </c>
    </row>
    <row r="176" ht="14.25" customHeight="1">
      <c r="A176" s="1" t="s">
        <v>1300</v>
      </c>
      <c r="B176" s="1" t="s">
        <v>246</v>
      </c>
      <c r="C176" s="1" t="s">
        <v>7</v>
      </c>
      <c r="D176" s="1" t="s">
        <v>25</v>
      </c>
    </row>
    <row r="177" ht="14.25" customHeight="1">
      <c r="A177" s="1" t="s">
        <v>1300</v>
      </c>
      <c r="B177" s="1" t="s">
        <v>246</v>
      </c>
      <c r="C177" s="1" t="s">
        <v>5</v>
      </c>
      <c r="D177" s="1" t="s">
        <v>1301</v>
      </c>
    </row>
    <row r="178" ht="14.25" customHeight="1">
      <c r="A178" s="1" t="s">
        <v>1300</v>
      </c>
      <c r="B178" s="1" t="s">
        <v>246</v>
      </c>
      <c r="C178" s="1" t="s">
        <v>6</v>
      </c>
      <c r="D178" s="1" t="s">
        <v>15</v>
      </c>
    </row>
    <row r="179" ht="14.25" customHeight="1">
      <c r="A179" s="1" t="s">
        <v>1302</v>
      </c>
      <c r="B179" s="1" t="s">
        <v>273</v>
      </c>
      <c r="C179" s="1" t="s">
        <v>7</v>
      </c>
      <c r="D179" s="1" t="s">
        <v>19</v>
      </c>
    </row>
    <row r="180" ht="14.25" customHeight="1">
      <c r="A180" s="1" t="s">
        <v>1302</v>
      </c>
      <c r="B180" s="1" t="s">
        <v>273</v>
      </c>
      <c r="C180" s="1" t="s">
        <v>5</v>
      </c>
      <c r="D180" s="1" t="s">
        <v>1303</v>
      </c>
    </row>
    <row r="181" ht="14.25" customHeight="1">
      <c r="A181" s="1" t="s">
        <v>1302</v>
      </c>
      <c r="B181" s="1" t="s">
        <v>273</v>
      </c>
      <c r="C181" s="1" t="s">
        <v>6</v>
      </c>
      <c r="D181" s="1" t="s">
        <v>11</v>
      </c>
    </row>
    <row r="182" ht="14.25" customHeight="1">
      <c r="A182" s="1" t="s">
        <v>1304</v>
      </c>
      <c r="B182" s="1" t="s">
        <v>194</v>
      </c>
      <c r="C182" s="1" t="s">
        <v>7</v>
      </c>
      <c r="D182" s="1" t="s">
        <v>9</v>
      </c>
    </row>
    <row r="183" ht="14.25" customHeight="1">
      <c r="A183" s="1" t="s">
        <v>1304</v>
      </c>
      <c r="B183" s="1" t="s">
        <v>194</v>
      </c>
      <c r="C183" s="1" t="s">
        <v>5</v>
      </c>
      <c r="D183" s="1" t="s">
        <v>1305</v>
      </c>
    </row>
    <row r="184" ht="14.25" customHeight="1">
      <c r="A184" s="1" t="s">
        <v>1304</v>
      </c>
      <c r="B184" s="1" t="s">
        <v>194</v>
      </c>
      <c r="C184" s="1" t="s">
        <v>6</v>
      </c>
      <c r="D184" s="1" t="s">
        <v>21</v>
      </c>
    </row>
    <row r="185" ht="14.25" customHeight="1">
      <c r="A185" s="1" t="s">
        <v>1306</v>
      </c>
      <c r="B185" s="1" t="s">
        <v>273</v>
      </c>
      <c r="C185" s="1" t="s">
        <v>7</v>
      </c>
      <c r="D185" s="1" t="s">
        <v>9</v>
      </c>
    </row>
    <row r="186" ht="14.25" customHeight="1">
      <c r="A186" s="1" t="s">
        <v>1306</v>
      </c>
      <c r="B186" s="1" t="s">
        <v>273</v>
      </c>
      <c r="C186" s="1" t="s">
        <v>5</v>
      </c>
      <c r="D186" s="1" t="s">
        <v>1307</v>
      </c>
    </row>
    <row r="187" ht="14.25" customHeight="1">
      <c r="A187" s="1" t="s">
        <v>1306</v>
      </c>
      <c r="B187" s="1" t="s">
        <v>273</v>
      </c>
      <c r="C187" s="1" t="s">
        <v>6</v>
      </c>
      <c r="D187" s="1" t="s">
        <v>21</v>
      </c>
    </row>
    <row r="188" ht="14.25" customHeight="1">
      <c r="A188" s="1" t="s">
        <v>1308</v>
      </c>
      <c r="B188" s="1" t="s">
        <v>182</v>
      </c>
      <c r="C188" s="1" t="s">
        <v>7</v>
      </c>
      <c r="D188" s="1" t="s">
        <v>19</v>
      </c>
    </row>
    <row r="189" ht="14.25" customHeight="1">
      <c r="A189" s="1" t="s">
        <v>1308</v>
      </c>
      <c r="B189" s="1" t="s">
        <v>182</v>
      </c>
      <c r="C189" s="1" t="s">
        <v>5</v>
      </c>
      <c r="D189" s="1" t="s">
        <v>1309</v>
      </c>
    </row>
    <row r="190" ht="14.25" customHeight="1">
      <c r="A190" s="1" t="s">
        <v>1308</v>
      </c>
      <c r="B190" s="1" t="s">
        <v>182</v>
      </c>
      <c r="C190" s="1" t="s">
        <v>6</v>
      </c>
      <c r="D190" s="1" t="s">
        <v>15</v>
      </c>
    </row>
    <row r="191" ht="14.25" customHeight="1">
      <c r="A191" s="1" t="s">
        <v>1310</v>
      </c>
      <c r="B191" s="1" t="s">
        <v>191</v>
      </c>
      <c r="C191" s="1" t="s">
        <v>7</v>
      </c>
      <c r="D191" s="1" t="s">
        <v>9</v>
      </c>
    </row>
    <row r="192" ht="14.25" customHeight="1">
      <c r="A192" s="1" t="s">
        <v>1310</v>
      </c>
      <c r="B192" s="1" t="s">
        <v>191</v>
      </c>
      <c r="C192" s="1" t="s">
        <v>5</v>
      </c>
      <c r="D192" s="1" t="s">
        <v>1311</v>
      </c>
    </row>
    <row r="193" ht="14.25" customHeight="1">
      <c r="A193" s="1" t="s">
        <v>1310</v>
      </c>
      <c r="B193" s="1" t="s">
        <v>191</v>
      </c>
      <c r="C193" s="1" t="s">
        <v>6</v>
      </c>
      <c r="D193" s="1" t="s">
        <v>15</v>
      </c>
    </row>
    <row r="194" ht="14.25" customHeight="1">
      <c r="A194" s="1" t="s">
        <v>1312</v>
      </c>
      <c r="B194" s="1" t="s">
        <v>197</v>
      </c>
      <c r="C194" s="1" t="s">
        <v>7</v>
      </c>
      <c r="D194" s="1" t="s">
        <v>19</v>
      </c>
    </row>
    <row r="195" ht="14.25" customHeight="1">
      <c r="A195" s="1" t="s">
        <v>1312</v>
      </c>
      <c r="B195" s="1" t="s">
        <v>197</v>
      </c>
      <c r="C195" s="1" t="s">
        <v>5</v>
      </c>
      <c r="D195" s="1" t="s">
        <v>1313</v>
      </c>
    </row>
    <row r="196" ht="14.25" customHeight="1">
      <c r="A196" s="1" t="s">
        <v>1312</v>
      </c>
      <c r="B196" s="1" t="s">
        <v>197</v>
      </c>
      <c r="C196" s="1" t="s">
        <v>6</v>
      </c>
      <c r="D196" s="1" t="s">
        <v>21</v>
      </c>
    </row>
    <row r="197" ht="14.25" customHeight="1">
      <c r="A197" s="1" t="s">
        <v>1314</v>
      </c>
      <c r="B197" s="1" t="s">
        <v>310</v>
      </c>
      <c r="C197" s="1" t="s">
        <v>7</v>
      </c>
      <c r="D197" s="1" t="s">
        <v>9</v>
      </c>
    </row>
    <row r="198" ht="14.25" customHeight="1">
      <c r="A198" s="1" t="s">
        <v>1314</v>
      </c>
      <c r="B198" s="1" t="s">
        <v>310</v>
      </c>
      <c r="C198" s="1" t="s">
        <v>5</v>
      </c>
      <c r="D198" s="1" t="s">
        <v>1315</v>
      </c>
    </row>
    <row r="199" ht="14.25" customHeight="1">
      <c r="A199" s="1" t="s">
        <v>1314</v>
      </c>
      <c r="B199" s="1" t="s">
        <v>310</v>
      </c>
      <c r="C199" s="1" t="s">
        <v>6</v>
      </c>
      <c r="D199" s="1" t="s">
        <v>21</v>
      </c>
    </row>
    <row r="200" ht="14.25" customHeight="1">
      <c r="A200" s="1" t="s">
        <v>1316</v>
      </c>
      <c r="B200" s="1" t="s">
        <v>472</v>
      </c>
      <c r="C200" s="1" t="s">
        <v>7</v>
      </c>
      <c r="D200" s="1" t="s">
        <v>19</v>
      </c>
    </row>
    <row r="201" ht="14.25" customHeight="1">
      <c r="A201" s="1" t="s">
        <v>1316</v>
      </c>
      <c r="B201" s="1" t="s">
        <v>472</v>
      </c>
      <c r="C201" s="1" t="s">
        <v>5</v>
      </c>
      <c r="D201" s="1" t="s">
        <v>1317</v>
      </c>
    </row>
    <row r="202" ht="14.25" customHeight="1">
      <c r="A202" s="1" t="s">
        <v>1316</v>
      </c>
      <c r="B202" s="1" t="s">
        <v>472</v>
      </c>
      <c r="C202" s="1" t="s">
        <v>6</v>
      </c>
      <c r="D202" s="1" t="s">
        <v>15</v>
      </c>
    </row>
    <row r="203" ht="14.25" customHeight="1">
      <c r="A203" s="1" t="s">
        <v>1318</v>
      </c>
      <c r="B203" s="1" t="s">
        <v>223</v>
      </c>
      <c r="C203" s="1" t="s">
        <v>7</v>
      </c>
      <c r="D203" s="1" t="s">
        <v>13</v>
      </c>
    </row>
    <row r="204" ht="14.25" customHeight="1">
      <c r="A204" s="1" t="s">
        <v>1318</v>
      </c>
      <c r="B204" s="1" t="s">
        <v>223</v>
      </c>
      <c r="C204" s="1" t="s">
        <v>5</v>
      </c>
      <c r="D204" s="1" t="s">
        <v>1319</v>
      </c>
    </row>
    <row r="205" ht="14.25" customHeight="1">
      <c r="A205" s="1" t="s">
        <v>1318</v>
      </c>
      <c r="B205" s="1" t="s">
        <v>223</v>
      </c>
      <c r="C205" s="1" t="s">
        <v>6</v>
      </c>
      <c r="D205" s="1" t="s">
        <v>11</v>
      </c>
    </row>
    <row r="206" ht="14.25" customHeight="1">
      <c r="A206" s="1" t="s">
        <v>1320</v>
      </c>
      <c r="B206" s="1" t="s">
        <v>211</v>
      </c>
      <c r="C206" s="1" t="s">
        <v>7</v>
      </c>
      <c r="D206" s="1" t="s">
        <v>13</v>
      </c>
    </row>
    <row r="207" ht="14.25" customHeight="1">
      <c r="A207" s="1" t="s">
        <v>1320</v>
      </c>
      <c r="B207" s="1" t="s">
        <v>211</v>
      </c>
      <c r="C207" s="1" t="s">
        <v>5</v>
      </c>
      <c r="D207" s="1" t="s">
        <v>1321</v>
      </c>
    </row>
    <row r="208" ht="14.25" customHeight="1">
      <c r="A208" s="1" t="s">
        <v>1320</v>
      </c>
      <c r="B208" s="1" t="s">
        <v>211</v>
      </c>
      <c r="C208" s="1" t="s">
        <v>6</v>
      </c>
      <c r="D208" s="1" t="s">
        <v>15</v>
      </c>
    </row>
    <row r="209" ht="14.25" customHeight="1">
      <c r="A209" s="1" t="s">
        <v>1322</v>
      </c>
      <c r="B209" s="1" t="s">
        <v>211</v>
      </c>
      <c r="C209" s="1" t="s">
        <v>7</v>
      </c>
      <c r="D209" s="1" t="s">
        <v>25</v>
      </c>
    </row>
    <row r="210" ht="14.25" customHeight="1">
      <c r="A210" s="1" t="s">
        <v>1322</v>
      </c>
      <c r="B210" s="1" t="s">
        <v>211</v>
      </c>
      <c r="C210" s="1" t="s">
        <v>5</v>
      </c>
      <c r="D210" s="1" t="s">
        <v>1323</v>
      </c>
    </row>
    <row r="211" ht="14.25" customHeight="1">
      <c r="A211" s="1" t="s">
        <v>1322</v>
      </c>
      <c r="B211" s="1" t="s">
        <v>211</v>
      </c>
      <c r="C211" s="1" t="s">
        <v>6</v>
      </c>
      <c r="D211" s="1" t="s">
        <v>11</v>
      </c>
    </row>
    <row r="212" ht="14.25" customHeight="1">
      <c r="A212" s="1" t="s">
        <v>1324</v>
      </c>
      <c r="B212" s="1" t="s">
        <v>200</v>
      </c>
      <c r="C212" s="1" t="s">
        <v>7</v>
      </c>
      <c r="D212" s="1" t="s">
        <v>19</v>
      </c>
    </row>
    <row r="213" ht="14.25" customHeight="1">
      <c r="A213" s="1" t="s">
        <v>1324</v>
      </c>
      <c r="B213" s="1" t="s">
        <v>200</v>
      </c>
      <c r="C213" s="1" t="s">
        <v>5</v>
      </c>
      <c r="D213" s="1" t="s">
        <v>1325</v>
      </c>
    </row>
    <row r="214" ht="14.25" customHeight="1">
      <c r="A214" s="1" t="s">
        <v>1324</v>
      </c>
      <c r="B214" s="1" t="s">
        <v>200</v>
      </c>
      <c r="C214" s="1" t="s">
        <v>6</v>
      </c>
      <c r="D214" s="1" t="s">
        <v>15</v>
      </c>
    </row>
    <row r="215" ht="14.25" customHeight="1">
      <c r="A215" s="1" t="s">
        <v>1326</v>
      </c>
      <c r="B215" s="1" t="s">
        <v>236</v>
      </c>
      <c r="C215" s="1" t="s">
        <v>7</v>
      </c>
      <c r="D215" s="1" t="s">
        <v>19</v>
      </c>
    </row>
    <row r="216" ht="14.25" customHeight="1">
      <c r="A216" s="1" t="s">
        <v>1326</v>
      </c>
      <c r="B216" s="1" t="s">
        <v>236</v>
      </c>
      <c r="C216" s="1" t="s">
        <v>5</v>
      </c>
      <c r="D216" s="1" t="s">
        <v>1327</v>
      </c>
    </row>
    <row r="217" ht="14.25" customHeight="1">
      <c r="A217" s="1" t="s">
        <v>1326</v>
      </c>
      <c r="B217" s="1" t="s">
        <v>236</v>
      </c>
      <c r="C217" s="1" t="s">
        <v>6</v>
      </c>
      <c r="D217" s="1" t="s">
        <v>21</v>
      </c>
    </row>
    <row r="218" ht="14.25" customHeight="1">
      <c r="A218" s="1" t="s">
        <v>1328</v>
      </c>
      <c r="B218" s="1" t="s">
        <v>398</v>
      </c>
      <c r="C218" s="1" t="s">
        <v>7</v>
      </c>
      <c r="D218" s="1" t="s">
        <v>13</v>
      </c>
    </row>
    <row r="219" ht="14.25" customHeight="1">
      <c r="A219" s="1" t="s">
        <v>1328</v>
      </c>
      <c r="B219" s="1" t="s">
        <v>398</v>
      </c>
      <c r="C219" s="1" t="s">
        <v>5</v>
      </c>
      <c r="D219" s="1" t="s">
        <v>1137</v>
      </c>
    </row>
    <row r="220" ht="14.25" customHeight="1">
      <c r="A220" s="1" t="s">
        <v>1328</v>
      </c>
      <c r="B220" s="1" t="s">
        <v>398</v>
      </c>
      <c r="C220" s="1" t="s">
        <v>6</v>
      </c>
      <c r="D220" s="1" t="s">
        <v>21</v>
      </c>
    </row>
    <row r="221" ht="14.25" customHeight="1">
      <c r="A221" s="1" t="s">
        <v>1329</v>
      </c>
      <c r="B221" s="1" t="s">
        <v>264</v>
      </c>
      <c r="C221" s="1" t="s">
        <v>7</v>
      </c>
      <c r="D221" s="1" t="s">
        <v>9</v>
      </c>
    </row>
    <row r="222" ht="14.25" customHeight="1">
      <c r="A222" s="1" t="s">
        <v>1329</v>
      </c>
      <c r="B222" s="1" t="s">
        <v>264</v>
      </c>
      <c r="C222" s="1" t="s">
        <v>5</v>
      </c>
      <c r="D222" s="1" t="s">
        <v>1330</v>
      </c>
    </row>
    <row r="223" ht="14.25" customHeight="1">
      <c r="A223" s="1" t="s">
        <v>1329</v>
      </c>
      <c r="B223" s="1" t="s">
        <v>264</v>
      </c>
      <c r="C223" s="1" t="s">
        <v>6</v>
      </c>
      <c r="D223" s="1" t="s">
        <v>15</v>
      </c>
    </row>
    <row r="224" ht="14.25" customHeight="1">
      <c r="A224" s="1" t="s">
        <v>1331</v>
      </c>
      <c r="B224" s="1" t="s">
        <v>182</v>
      </c>
      <c r="C224" s="1" t="s">
        <v>7</v>
      </c>
      <c r="D224" s="1" t="s">
        <v>25</v>
      </c>
    </row>
    <row r="225" ht="14.25" customHeight="1">
      <c r="A225" s="1" t="s">
        <v>1331</v>
      </c>
      <c r="B225" s="1" t="s">
        <v>182</v>
      </c>
      <c r="C225" s="1" t="s">
        <v>5</v>
      </c>
      <c r="D225" s="1" t="s">
        <v>1332</v>
      </c>
    </row>
    <row r="226" ht="14.25" customHeight="1">
      <c r="A226" s="1" t="s">
        <v>1331</v>
      </c>
      <c r="B226" s="1" t="s">
        <v>182</v>
      </c>
      <c r="C226" s="1" t="s">
        <v>6</v>
      </c>
      <c r="D226" s="1" t="s">
        <v>15</v>
      </c>
    </row>
    <row r="227" ht="14.25" customHeight="1">
      <c r="A227" s="1" t="s">
        <v>1333</v>
      </c>
      <c r="B227" s="1" t="s">
        <v>307</v>
      </c>
      <c r="C227" s="1" t="s">
        <v>7</v>
      </c>
      <c r="D227" s="1" t="s">
        <v>13</v>
      </c>
    </row>
    <row r="228" ht="14.25" customHeight="1">
      <c r="A228" s="1" t="s">
        <v>1333</v>
      </c>
      <c r="B228" s="1" t="s">
        <v>307</v>
      </c>
      <c r="C228" s="1" t="s">
        <v>5</v>
      </c>
      <c r="D228" s="1" t="s">
        <v>1334</v>
      </c>
    </row>
    <row r="229" ht="14.25" customHeight="1">
      <c r="A229" s="1" t="s">
        <v>1333</v>
      </c>
      <c r="B229" s="1" t="s">
        <v>307</v>
      </c>
      <c r="C229" s="1" t="s">
        <v>6</v>
      </c>
      <c r="D229" s="1" t="s">
        <v>11</v>
      </c>
    </row>
    <row r="230" ht="14.25" customHeight="1">
      <c r="A230" s="1" t="s">
        <v>1335</v>
      </c>
      <c r="B230" s="1" t="s">
        <v>381</v>
      </c>
      <c r="C230" s="1" t="s">
        <v>7</v>
      </c>
      <c r="D230" s="1" t="s">
        <v>9</v>
      </c>
    </row>
    <row r="231" ht="14.25" customHeight="1">
      <c r="A231" s="1" t="s">
        <v>1335</v>
      </c>
      <c r="B231" s="1" t="s">
        <v>381</v>
      </c>
      <c r="C231" s="1" t="s">
        <v>5</v>
      </c>
      <c r="D231" s="1" t="s">
        <v>1336</v>
      </c>
    </row>
    <row r="232" ht="14.25" customHeight="1">
      <c r="A232" s="1" t="s">
        <v>1335</v>
      </c>
      <c r="B232" s="1" t="s">
        <v>381</v>
      </c>
      <c r="C232" s="1" t="s">
        <v>6</v>
      </c>
      <c r="D232" s="1" t="s">
        <v>15</v>
      </c>
    </row>
    <row r="233" ht="14.25" customHeight="1">
      <c r="A233" s="1" t="s">
        <v>1337</v>
      </c>
      <c r="B233" s="1" t="s">
        <v>214</v>
      </c>
      <c r="C233" s="1" t="s">
        <v>7</v>
      </c>
      <c r="D233" s="1" t="s">
        <v>9</v>
      </c>
    </row>
    <row r="234" ht="14.25" customHeight="1">
      <c r="A234" s="1" t="s">
        <v>1337</v>
      </c>
      <c r="B234" s="1" t="s">
        <v>214</v>
      </c>
      <c r="C234" s="1" t="s">
        <v>5</v>
      </c>
      <c r="D234" s="1" t="s">
        <v>1338</v>
      </c>
    </row>
    <row r="235" ht="14.25" customHeight="1">
      <c r="A235" s="1" t="s">
        <v>1337</v>
      </c>
      <c r="B235" s="1" t="s">
        <v>214</v>
      </c>
      <c r="C235" s="1" t="s">
        <v>6</v>
      </c>
      <c r="D235" s="1" t="s">
        <v>15</v>
      </c>
    </row>
    <row r="236" ht="14.25" customHeight="1">
      <c r="A236" s="1" t="s">
        <v>1339</v>
      </c>
      <c r="B236" s="1" t="s">
        <v>233</v>
      </c>
      <c r="C236" s="1" t="s">
        <v>7</v>
      </c>
      <c r="D236" s="1" t="s">
        <v>9</v>
      </c>
    </row>
    <row r="237" ht="14.25" customHeight="1">
      <c r="A237" s="1" t="s">
        <v>1339</v>
      </c>
      <c r="B237" s="1" t="s">
        <v>233</v>
      </c>
      <c r="C237" s="1" t="s">
        <v>5</v>
      </c>
      <c r="D237" s="1" t="s">
        <v>1340</v>
      </c>
    </row>
    <row r="238" ht="14.25" customHeight="1">
      <c r="A238" s="1" t="s">
        <v>1339</v>
      </c>
      <c r="B238" s="1" t="s">
        <v>233</v>
      </c>
      <c r="C238" s="1" t="s">
        <v>6</v>
      </c>
      <c r="D238" s="1" t="s">
        <v>21</v>
      </c>
    </row>
    <row r="239" ht="14.25" customHeight="1">
      <c r="A239" s="1" t="s">
        <v>1341</v>
      </c>
      <c r="B239" s="1" t="s">
        <v>339</v>
      </c>
      <c r="C239" s="1" t="s">
        <v>7</v>
      </c>
      <c r="D239" s="1" t="s">
        <v>13</v>
      </c>
    </row>
    <row r="240" ht="14.25" customHeight="1">
      <c r="A240" s="1" t="s">
        <v>1341</v>
      </c>
      <c r="B240" s="1" t="s">
        <v>339</v>
      </c>
      <c r="C240" s="1" t="s">
        <v>5</v>
      </c>
      <c r="D240" s="1" t="s">
        <v>1342</v>
      </c>
    </row>
    <row r="241" ht="14.25" customHeight="1">
      <c r="A241" s="1" t="s">
        <v>1341</v>
      </c>
      <c r="B241" s="1" t="s">
        <v>339</v>
      </c>
      <c r="C241" s="1" t="s">
        <v>6</v>
      </c>
      <c r="D241" s="1" t="s">
        <v>21</v>
      </c>
    </row>
    <row r="242" ht="14.25" customHeight="1">
      <c r="A242" s="1" t="s">
        <v>1343</v>
      </c>
      <c r="B242" s="1" t="s">
        <v>239</v>
      </c>
      <c r="C242" s="1" t="s">
        <v>7</v>
      </c>
      <c r="D242" s="1" t="s">
        <v>25</v>
      </c>
    </row>
    <row r="243" ht="14.25" customHeight="1">
      <c r="A243" s="1" t="s">
        <v>1343</v>
      </c>
      <c r="B243" s="1" t="s">
        <v>239</v>
      </c>
      <c r="C243" s="1" t="s">
        <v>5</v>
      </c>
      <c r="D243" s="1" t="s">
        <v>1344</v>
      </c>
    </row>
    <row r="244" ht="14.25" customHeight="1">
      <c r="A244" s="1" t="s">
        <v>1343</v>
      </c>
      <c r="B244" s="1" t="s">
        <v>239</v>
      </c>
      <c r="C244" s="1" t="s">
        <v>6</v>
      </c>
      <c r="D244" s="1" t="s">
        <v>21</v>
      </c>
    </row>
    <row r="245" ht="14.25" customHeight="1">
      <c r="A245" s="1" t="s">
        <v>1345</v>
      </c>
      <c r="B245" s="1" t="s">
        <v>211</v>
      </c>
      <c r="C245" s="1" t="s">
        <v>7</v>
      </c>
      <c r="D245" s="1" t="s">
        <v>13</v>
      </c>
    </row>
    <row r="246" ht="14.25" customHeight="1">
      <c r="A246" s="1" t="s">
        <v>1345</v>
      </c>
      <c r="B246" s="1" t="s">
        <v>211</v>
      </c>
      <c r="C246" s="1" t="s">
        <v>5</v>
      </c>
      <c r="D246" s="1" t="s">
        <v>1346</v>
      </c>
    </row>
    <row r="247" ht="14.25" customHeight="1">
      <c r="A247" s="1" t="s">
        <v>1345</v>
      </c>
      <c r="B247" s="1" t="s">
        <v>211</v>
      </c>
      <c r="C247" s="1" t="s">
        <v>6</v>
      </c>
      <c r="D247" s="1" t="s">
        <v>11</v>
      </c>
    </row>
    <row r="248" ht="14.25" customHeight="1">
      <c r="A248" s="1" t="s">
        <v>1347</v>
      </c>
      <c r="B248" s="1" t="s">
        <v>381</v>
      </c>
      <c r="C248" s="1" t="s">
        <v>7</v>
      </c>
      <c r="D248" s="1" t="s">
        <v>9</v>
      </c>
    </row>
    <row r="249" ht="14.25" customHeight="1">
      <c r="A249" s="1" t="s">
        <v>1347</v>
      </c>
      <c r="B249" s="1" t="s">
        <v>381</v>
      </c>
      <c r="C249" s="1" t="s">
        <v>5</v>
      </c>
      <c r="D249" s="1" t="s">
        <v>1348</v>
      </c>
    </row>
    <row r="250" ht="14.25" customHeight="1">
      <c r="A250" s="1" t="s">
        <v>1347</v>
      </c>
      <c r="B250" s="1" t="s">
        <v>381</v>
      </c>
      <c r="C250" s="1" t="s">
        <v>6</v>
      </c>
      <c r="D250" s="1" t="s">
        <v>21</v>
      </c>
    </row>
    <row r="251" ht="14.25" customHeight="1">
      <c r="A251" s="1" t="s">
        <v>1349</v>
      </c>
      <c r="B251" s="1" t="s">
        <v>223</v>
      </c>
      <c r="C251" s="1" t="s">
        <v>7</v>
      </c>
      <c r="D251" s="1" t="s">
        <v>9</v>
      </c>
    </row>
    <row r="252" ht="14.25" customHeight="1">
      <c r="A252" s="1" t="s">
        <v>1349</v>
      </c>
      <c r="B252" s="1" t="s">
        <v>223</v>
      </c>
      <c r="C252" s="1" t="s">
        <v>5</v>
      </c>
      <c r="D252" s="1" t="s">
        <v>1350</v>
      </c>
    </row>
    <row r="253" ht="14.25" customHeight="1">
      <c r="A253" s="1" t="s">
        <v>1349</v>
      </c>
      <c r="B253" s="1" t="s">
        <v>223</v>
      </c>
      <c r="C253" s="1" t="s">
        <v>6</v>
      </c>
      <c r="D253" s="1" t="s">
        <v>15</v>
      </c>
    </row>
    <row r="254" ht="14.25" customHeight="1">
      <c r="A254" s="1" t="s">
        <v>1351</v>
      </c>
      <c r="B254" s="1" t="s">
        <v>378</v>
      </c>
      <c r="C254" s="1" t="s">
        <v>7</v>
      </c>
      <c r="D254" s="1" t="s">
        <v>19</v>
      </c>
    </row>
    <row r="255" ht="14.25" customHeight="1">
      <c r="A255" s="1" t="s">
        <v>1351</v>
      </c>
      <c r="B255" s="1" t="s">
        <v>378</v>
      </c>
      <c r="C255" s="1" t="s">
        <v>5</v>
      </c>
      <c r="D255" s="1" t="s">
        <v>1352</v>
      </c>
    </row>
    <row r="256" ht="14.25" customHeight="1">
      <c r="A256" s="1" t="s">
        <v>1351</v>
      </c>
      <c r="B256" s="1" t="s">
        <v>378</v>
      </c>
      <c r="C256" s="1" t="s">
        <v>6</v>
      </c>
      <c r="D256" s="1" t="s">
        <v>15</v>
      </c>
    </row>
    <row r="257" ht="14.25" customHeight="1">
      <c r="A257" s="1" t="s">
        <v>1353</v>
      </c>
      <c r="B257" s="1" t="s">
        <v>249</v>
      </c>
      <c r="C257" s="1" t="s">
        <v>7</v>
      </c>
      <c r="D257" s="1" t="s">
        <v>25</v>
      </c>
    </row>
    <row r="258" ht="14.25" customHeight="1">
      <c r="A258" s="1" t="s">
        <v>1353</v>
      </c>
      <c r="B258" s="1" t="s">
        <v>249</v>
      </c>
      <c r="C258" s="1" t="s">
        <v>5</v>
      </c>
      <c r="D258" s="1" t="s">
        <v>1354</v>
      </c>
    </row>
    <row r="259" ht="14.25" customHeight="1">
      <c r="A259" s="1" t="s">
        <v>1353</v>
      </c>
      <c r="B259" s="1" t="s">
        <v>249</v>
      </c>
      <c r="C259" s="1" t="s">
        <v>6</v>
      </c>
      <c r="D259" s="1" t="s">
        <v>11</v>
      </c>
    </row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F1" s="4" t="s">
        <v>0</v>
      </c>
      <c r="G1" s="4" t="s">
        <v>4</v>
      </c>
      <c r="H1" s="4" t="s">
        <v>5</v>
      </c>
      <c r="I1" s="4" t="s">
        <v>6</v>
      </c>
      <c r="J1" s="4" t="s">
        <v>7</v>
      </c>
    </row>
    <row r="2" ht="14.25" customHeight="1">
      <c r="A2" s="1" t="s">
        <v>1355</v>
      </c>
      <c r="B2" s="1" t="s">
        <v>188</v>
      </c>
      <c r="C2" s="1" t="s">
        <v>7</v>
      </c>
      <c r="D2" s="1" t="s">
        <v>25</v>
      </c>
      <c r="F2" s="4" t="str">
        <f>IFERROR(__xludf.DUMMYFUNCTION("UNIQUE(A2:A1000)"),"319351")</f>
        <v>319351</v>
      </c>
      <c r="G2" s="4" t="str">
        <f t="shared" ref="G2:G85" si="1">CONCATENATE("09","/",VLOOKUP(F2, A2:D1000, 2, false),"/",2023)</f>
        <v>09/1/2023</v>
      </c>
      <c r="H2" s="4" t="str">
        <f t="shared" ref="H2:H85" si="2">INDEX(D:D, MATCH(1, ($A:$A = $F2) * ($C:$C = $H$1), 0))</f>
        <v>8/11/1961</v>
      </c>
      <c r="I2" s="4" t="str">
        <f t="shared" ref="I2:I85" si="3">INDEX(D:D, MATCH(1, ($A:$A = $F2) * ($C:$C = $I$1), 0))</f>
        <v>Gold</v>
      </c>
      <c r="J2" s="4" t="str">
        <f t="shared" ref="J2:J85" si="4">INDEX(D:D, MATCH(1, ($A:$A = $F2) * ($C:$C = $J$1), 0))</f>
        <v>Black</v>
      </c>
    </row>
    <row r="3" ht="14.25" customHeight="1">
      <c r="A3" s="1" t="s">
        <v>1355</v>
      </c>
      <c r="B3" s="1" t="s">
        <v>188</v>
      </c>
      <c r="C3" s="1" t="s">
        <v>5</v>
      </c>
      <c r="D3" s="1" t="s">
        <v>1356</v>
      </c>
      <c r="F3" s="1" t="str">
        <f>IFERROR(__xludf.DUMMYFUNCTION("""COMPUTED_VALUE"""),"228495")</f>
        <v>228495</v>
      </c>
      <c r="G3" s="4" t="str">
        <f t="shared" si="1"/>
        <v>09/8/2023</v>
      </c>
      <c r="H3" s="4" t="str">
        <f t="shared" si="2"/>
        <v>4/7/2006</v>
      </c>
      <c r="I3" s="4" t="str">
        <f t="shared" si="3"/>
        <v>Basic</v>
      </c>
      <c r="J3" s="4" t="str">
        <f t="shared" si="4"/>
        <v>Other</v>
      </c>
    </row>
    <row r="4" ht="14.25" customHeight="1">
      <c r="A4" s="1" t="s">
        <v>1355</v>
      </c>
      <c r="B4" s="1" t="s">
        <v>188</v>
      </c>
      <c r="C4" s="1" t="s">
        <v>6</v>
      </c>
      <c r="D4" s="1" t="s">
        <v>15</v>
      </c>
      <c r="F4" s="1" t="str">
        <f>IFERROR(__xludf.DUMMYFUNCTION("""COMPUTED_VALUE"""),"163670")</f>
        <v>163670</v>
      </c>
      <c r="G4" s="4" t="str">
        <f t="shared" si="1"/>
        <v>09/17/2023</v>
      </c>
      <c r="H4" s="4" t="str">
        <f t="shared" si="2"/>
        <v>9/7/1970</v>
      </c>
      <c r="I4" s="4" t="str">
        <f t="shared" si="3"/>
        <v>Platinum</v>
      </c>
      <c r="J4" s="4" t="str">
        <f t="shared" si="4"/>
        <v>White</v>
      </c>
    </row>
    <row r="5" ht="14.25" customHeight="1">
      <c r="A5" s="1" t="s">
        <v>1357</v>
      </c>
      <c r="B5" s="1" t="s">
        <v>191</v>
      </c>
      <c r="C5" s="1" t="s">
        <v>7</v>
      </c>
      <c r="D5" s="1" t="s">
        <v>9</v>
      </c>
      <c r="F5" s="1" t="str">
        <f>IFERROR(__xludf.DUMMYFUNCTION("""COMPUTED_VALUE"""),"801185")</f>
        <v>801185</v>
      </c>
      <c r="G5" s="4" t="str">
        <f t="shared" si="1"/>
        <v>09/29/2023</v>
      </c>
      <c r="H5" s="4" t="str">
        <f t="shared" si="2"/>
        <v>3/17/1975</v>
      </c>
      <c r="I5" s="4" t="str">
        <f t="shared" si="3"/>
        <v>Basic</v>
      </c>
      <c r="J5" s="4" t="str">
        <f t="shared" si="4"/>
        <v>Other</v>
      </c>
    </row>
    <row r="6" ht="14.25" customHeight="1">
      <c r="A6" s="1" t="s">
        <v>1357</v>
      </c>
      <c r="B6" s="1" t="s">
        <v>191</v>
      </c>
      <c r="C6" s="1" t="s">
        <v>5</v>
      </c>
      <c r="D6" s="1" t="s">
        <v>1358</v>
      </c>
      <c r="F6" s="1" t="str">
        <f>IFERROR(__xludf.DUMMYFUNCTION("""COMPUTED_VALUE"""),"625210")</f>
        <v>625210</v>
      </c>
      <c r="G6" s="4" t="str">
        <f t="shared" si="1"/>
        <v>09/30/2023</v>
      </c>
      <c r="H6" s="4" t="str">
        <f t="shared" si="2"/>
        <v>12/23/1995</v>
      </c>
      <c r="I6" s="4" t="str">
        <f t="shared" si="3"/>
        <v>Gold</v>
      </c>
      <c r="J6" s="4" t="str">
        <f t="shared" si="4"/>
        <v>Other</v>
      </c>
    </row>
    <row r="7" ht="14.25" customHeight="1">
      <c r="A7" s="1" t="s">
        <v>1357</v>
      </c>
      <c r="B7" s="1" t="s">
        <v>191</v>
      </c>
      <c r="C7" s="1" t="s">
        <v>6</v>
      </c>
      <c r="D7" s="1" t="s">
        <v>21</v>
      </c>
      <c r="F7" s="1" t="str">
        <f>IFERROR(__xludf.DUMMYFUNCTION("""COMPUTED_VALUE"""),"615502")</f>
        <v>615502</v>
      </c>
      <c r="G7" s="4" t="str">
        <f t="shared" si="1"/>
        <v>09/12/2023</v>
      </c>
      <c r="H7" s="4" t="str">
        <f t="shared" si="2"/>
        <v>10/1/1973</v>
      </c>
      <c r="I7" s="4" t="str">
        <f t="shared" si="3"/>
        <v>Basic</v>
      </c>
      <c r="J7" s="4" t="str">
        <f t="shared" si="4"/>
        <v>Asian</v>
      </c>
    </row>
    <row r="8" ht="14.25" customHeight="1">
      <c r="A8" s="1" t="s">
        <v>1359</v>
      </c>
      <c r="B8" s="1" t="s">
        <v>223</v>
      </c>
      <c r="C8" s="1" t="s">
        <v>7</v>
      </c>
      <c r="D8" s="1" t="s">
        <v>13</v>
      </c>
      <c r="F8" s="1" t="str">
        <f>IFERROR(__xludf.DUMMYFUNCTION("""COMPUTED_VALUE"""),"541236")</f>
        <v>541236</v>
      </c>
      <c r="G8" s="4" t="str">
        <f t="shared" si="1"/>
        <v>09/12/2023</v>
      </c>
      <c r="H8" s="4" t="str">
        <f t="shared" si="2"/>
        <v>4/13/1964</v>
      </c>
      <c r="I8" s="4" t="str">
        <f t="shared" si="3"/>
        <v>Gold</v>
      </c>
      <c r="J8" s="4" t="str">
        <f t="shared" si="4"/>
        <v>White</v>
      </c>
    </row>
    <row r="9" ht="14.25" customHeight="1">
      <c r="A9" s="1" t="s">
        <v>1359</v>
      </c>
      <c r="B9" s="1" t="s">
        <v>223</v>
      </c>
      <c r="C9" s="1" t="s">
        <v>5</v>
      </c>
      <c r="D9" s="1" t="s">
        <v>1360</v>
      </c>
      <c r="F9" s="1" t="str">
        <f>IFERROR(__xludf.DUMMYFUNCTION("""COMPUTED_VALUE"""),"861502")</f>
        <v>861502</v>
      </c>
      <c r="G9" s="4" t="str">
        <f t="shared" si="1"/>
        <v>09/24/2023</v>
      </c>
      <c r="H9" s="4" t="str">
        <f t="shared" si="2"/>
        <v>5/7/1981</v>
      </c>
      <c r="I9" s="4" t="str">
        <f t="shared" si="3"/>
        <v>Basic</v>
      </c>
      <c r="J9" s="4" t="str">
        <f t="shared" si="4"/>
        <v>Other</v>
      </c>
    </row>
    <row r="10" ht="14.25" customHeight="1">
      <c r="A10" s="1" t="s">
        <v>1359</v>
      </c>
      <c r="B10" s="1" t="s">
        <v>223</v>
      </c>
      <c r="C10" s="1" t="s">
        <v>6</v>
      </c>
      <c r="D10" s="1" t="s">
        <v>11</v>
      </c>
      <c r="F10" s="1" t="str">
        <f>IFERROR(__xludf.DUMMYFUNCTION("""COMPUTED_VALUE"""),"159537")</f>
        <v>159537</v>
      </c>
      <c r="G10" s="4" t="str">
        <f t="shared" si="1"/>
        <v>09/26/2023</v>
      </c>
      <c r="H10" s="4" t="str">
        <f t="shared" si="2"/>
        <v>7/30/2012</v>
      </c>
      <c r="I10" s="4" t="str">
        <f t="shared" si="3"/>
        <v>Gold</v>
      </c>
      <c r="J10" s="4" t="str">
        <f t="shared" si="4"/>
        <v>Asian</v>
      </c>
    </row>
    <row r="11" ht="14.25" customHeight="1">
      <c r="A11" s="1" t="s">
        <v>1361</v>
      </c>
      <c r="B11" s="1" t="s">
        <v>378</v>
      </c>
      <c r="C11" s="1" t="s">
        <v>7</v>
      </c>
      <c r="D11" s="1" t="s">
        <v>9</v>
      </c>
      <c r="F11" s="1" t="str">
        <f>IFERROR(__xludf.DUMMYFUNCTION("""COMPUTED_VALUE"""),"252873")</f>
        <v>252873</v>
      </c>
      <c r="G11" s="4" t="str">
        <f t="shared" si="1"/>
        <v>09/17/2023</v>
      </c>
      <c r="H11" s="4" t="str">
        <f t="shared" si="2"/>
        <v>2/17/1946</v>
      </c>
      <c r="I11" s="4" t="str">
        <f t="shared" si="3"/>
        <v>Basic</v>
      </c>
      <c r="J11" s="4" t="str">
        <f t="shared" si="4"/>
        <v>Other</v>
      </c>
    </row>
    <row r="12" ht="14.25" customHeight="1">
      <c r="A12" s="1" t="s">
        <v>1361</v>
      </c>
      <c r="B12" s="1" t="s">
        <v>378</v>
      </c>
      <c r="C12" s="1" t="s">
        <v>5</v>
      </c>
      <c r="D12" s="1" t="s">
        <v>1362</v>
      </c>
      <c r="F12" s="1" t="str">
        <f>IFERROR(__xludf.DUMMYFUNCTION("""COMPUTED_VALUE"""),"383716")</f>
        <v>383716</v>
      </c>
      <c r="G12" s="4" t="str">
        <f t="shared" si="1"/>
        <v>09/27/2023</v>
      </c>
      <c r="H12" s="4" t="str">
        <f t="shared" si="2"/>
        <v>6/22/2000</v>
      </c>
      <c r="I12" s="4" t="str">
        <f t="shared" si="3"/>
        <v>Platinum</v>
      </c>
      <c r="J12" s="4" t="str">
        <f t="shared" si="4"/>
        <v>Asian</v>
      </c>
    </row>
    <row r="13" ht="14.25" customHeight="1">
      <c r="A13" s="1" t="s">
        <v>1361</v>
      </c>
      <c r="B13" s="1" t="s">
        <v>378</v>
      </c>
      <c r="C13" s="1" t="s">
        <v>6</v>
      </c>
      <c r="D13" s="1" t="s">
        <v>21</v>
      </c>
      <c r="F13" s="1" t="str">
        <f>IFERROR(__xludf.DUMMYFUNCTION("""COMPUTED_VALUE"""),"974075")</f>
        <v>974075</v>
      </c>
      <c r="G13" s="4" t="str">
        <f t="shared" si="1"/>
        <v>09/6/2023</v>
      </c>
      <c r="H13" s="4" t="str">
        <f t="shared" si="2"/>
        <v>3/24/1982</v>
      </c>
      <c r="I13" s="4" t="str">
        <f t="shared" si="3"/>
        <v>Basic</v>
      </c>
      <c r="J13" s="4" t="str">
        <f t="shared" si="4"/>
        <v>White</v>
      </c>
    </row>
    <row r="14" ht="14.25" customHeight="1">
      <c r="A14" s="1" t="s">
        <v>1363</v>
      </c>
      <c r="B14" s="1" t="s">
        <v>472</v>
      </c>
      <c r="C14" s="1" t="s">
        <v>7</v>
      </c>
      <c r="D14" s="1" t="s">
        <v>9</v>
      </c>
      <c r="F14" s="1" t="str">
        <f>IFERROR(__xludf.DUMMYFUNCTION("""COMPUTED_VALUE"""),"960401")</f>
        <v>960401</v>
      </c>
      <c r="G14" s="4" t="str">
        <f t="shared" si="1"/>
        <v>09/9/2023</v>
      </c>
      <c r="H14" s="4" t="str">
        <f t="shared" si="2"/>
        <v>2/26/1991</v>
      </c>
      <c r="I14" s="4" t="str">
        <f t="shared" si="3"/>
        <v>Gold</v>
      </c>
      <c r="J14" s="4" t="str">
        <f t="shared" si="4"/>
        <v>Black</v>
      </c>
    </row>
    <row r="15" ht="14.25" customHeight="1">
      <c r="A15" s="1" t="s">
        <v>1363</v>
      </c>
      <c r="B15" s="1" t="s">
        <v>472</v>
      </c>
      <c r="C15" s="1" t="s">
        <v>5</v>
      </c>
      <c r="D15" s="1" t="s">
        <v>1364</v>
      </c>
      <c r="F15" s="1" t="str">
        <f>IFERROR(__xludf.DUMMYFUNCTION("""COMPUTED_VALUE"""),"725517")</f>
        <v>725517</v>
      </c>
      <c r="G15" s="4" t="str">
        <f t="shared" si="1"/>
        <v>09/9/2023</v>
      </c>
      <c r="H15" s="4" t="str">
        <f t="shared" si="2"/>
        <v>11/29/1943</v>
      </c>
      <c r="I15" s="4" t="str">
        <f t="shared" si="3"/>
        <v>Basic</v>
      </c>
      <c r="J15" s="4" t="str">
        <f t="shared" si="4"/>
        <v>White</v>
      </c>
    </row>
    <row r="16" ht="14.25" customHeight="1">
      <c r="A16" s="1" t="s">
        <v>1363</v>
      </c>
      <c r="B16" s="1" t="s">
        <v>472</v>
      </c>
      <c r="C16" s="1" t="s">
        <v>6</v>
      </c>
      <c r="D16" s="1" t="s">
        <v>15</v>
      </c>
      <c r="F16" s="1" t="str">
        <f>IFERROR(__xludf.DUMMYFUNCTION("""COMPUTED_VALUE"""),"947646")</f>
        <v>947646</v>
      </c>
      <c r="G16" s="4" t="str">
        <f t="shared" si="1"/>
        <v>09/5/2023</v>
      </c>
      <c r="H16" s="4" t="str">
        <f t="shared" si="2"/>
        <v>4/14/1968</v>
      </c>
      <c r="I16" s="4" t="str">
        <f t="shared" si="3"/>
        <v>Gold</v>
      </c>
      <c r="J16" s="4" t="str">
        <f t="shared" si="4"/>
        <v>Asian</v>
      </c>
    </row>
    <row r="17" ht="14.25" customHeight="1">
      <c r="A17" s="1" t="s">
        <v>1365</v>
      </c>
      <c r="B17" s="1" t="s">
        <v>324</v>
      </c>
      <c r="C17" s="1" t="s">
        <v>7</v>
      </c>
      <c r="D17" s="1" t="s">
        <v>19</v>
      </c>
      <c r="F17" s="1" t="str">
        <f>IFERROR(__xludf.DUMMYFUNCTION("""COMPUTED_VALUE"""),"169924")</f>
        <v>169924</v>
      </c>
      <c r="G17" s="4" t="str">
        <f t="shared" si="1"/>
        <v>09/11/2023</v>
      </c>
      <c r="H17" s="4" t="str">
        <f t="shared" si="2"/>
        <v>10/20/1977</v>
      </c>
      <c r="I17" s="4" t="str">
        <f t="shared" si="3"/>
        <v>Platinum</v>
      </c>
      <c r="J17" s="4" t="str">
        <f t="shared" si="4"/>
        <v>White</v>
      </c>
    </row>
    <row r="18" ht="14.25" customHeight="1">
      <c r="A18" s="1" t="s">
        <v>1365</v>
      </c>
      <c r="B18" s="1" t="s">
        <v>324</v>
      </c>
      <c r="C18" s="1" t="s">
        <v>5</v>
      </c>
      <c r="D18" s="1" t="s">
        <v>1366</v>
      </c>
      <c r="F18" s="1" t="str">
        <f>IFERROR(__xludf.DUMMYFUNCTION("""COMPUTED_VALUE"""),"188536")</f>
        <v>188536</v>
      </c>
      <c r="G18" s="4" t="str">
        <f t="shared" si="1"/>
        <v>09/9/2023</v>
      </c>
      <c r="H18" s="4" t="str">
        <f t="shared" si="2"/>
        <v>12/25/1946</v>
      </c>
      <c r="I18" s="4" t="str">
        <f t="shared" si="3"/>
        <v>Basic</v>
      </c>
      <c r="J18" s="4" t="str">
        <f t="shared" si="4"/>
        <v>Other</v>
      </c>
    </row>
    <row r="19" ht="14.25" customHeight="1">
      <c r="A19" s="1" t="s">
        <v>1365</v>
      </c>
      <c r="B19" s="1" t="s">
        <v>324</v>
      </c>
      <c r="C19" s="1" t="s">
        <v>6</v>
      </c>
      <c r="D19" s="1" t="s">
        <v>21</v>
      </c>
      <c r="F19" s="1" t="str">
        <f>IFERROR(__xludf.DUMMYFUNCTION("""COMPUTED_VALUE"""),"512357")</f>
        <v>512357</v>
      </c>
      <c r="G19" s="4" t="str">
        <f t="shared" si="1"/>
        <v>09/25/2023</v>
      </c>
      <c r="H19" s="4" t="str">
        <f t="shared" si="2"/>
        <v>11/19/2009</v>
      </c>
      <c r="I19" s="4" t="str">
        <f t="shared" si="3"/>
        <v>Basic</v>
      </c>
      <c r="J19" s="4" t="str">
        <f t="shared" si="4"/>
        <v>White</v>
      </c>
    </row>
    <row r="20" ht="14.25" customHeight="1">
      <c r="A20" s="1" t="s">
        <v>1367</v>
      </c>
      <c r="B20" s="1" t="s">
        <v>324</v>
      </c>
      <c r="C20" s="1" t="s">
        <v>7</v>
      </c>
      <c r="D20" s="1" t="s">
        <v>13</v>
      </c>
      <c r="F20" s="1" t="str">
        <f>IFERROR(__xludf.DUMMYFUNCTION("""COMPUTED_VALUE"""),"892110")</f>
        <v>892110</v>
      </c>
      <c r="G20" s="4" t="str">
        <f t="shared" si="1"/>
        <v>09/27/2023</v>
      </c>
      <c r="H20" s="4" t="str">
        <f t="shared" si="2"/>
        <v>5/27/1955</v>
      </c>
      <c r="I20" s="4" t="str">
        <f t="shared" si="3"/>
        <v>Gold</v>
      </c>
      <c r="J20" s="4" t="str">
        <f t="shared" si="4"/>
        <v>Asian</v>
      </c>
    </row>
    <row r="21" ht="14.25" customHeight="1">
      <c r="A21" s="1" t="s">
        <v>1367</v>
      </c>
      <c r="B21" s="1" t="s">
        <v>324</v>
      </c>
      <c r="C21" s="1" t="s">
        <v>5</v>
      </c>
      <c r="D21" s="1" t="s">
        <v>1368</v>
      </c>
      <c r="F21" s="1" t="str">
        <f>IFERROR(__xludf.DUMMYFUNCTION("""COMPUTED_VALUE"""),"350952")</f>
        <v>350952</v>
      </c>
      <c r="G21" s="4" t="str">
        <f t="shared" si="1"/>
        <v>09/10/2023</v>
      </c>
      <c r="H21" s="4" t="str">
        <f t="shared" si="2"/>
        <v>5/14/1997</v>
      </c>
      <c r="I21" s="4" t="str">
        <f t="shared" si="3"/>
        <v>Basic</v>
      </c>
      <c r="J21" s="4" t="str">
        <f t="shared" si="4"/>
        <v>Black</v>
      </c>
    </row>
    <row r="22" ht="14.25" customHeight="1">
      <c r="A22" s="1" t="s">
        <v>1367</v>
      </c>
      <c r="B22" s="1" t="s">
        <v>324</v>
      </c>
      <c r="C22" s="1" t="s">
        <v>6</v>
      </c>
      <c r="D22" s="1" t="s">
        <v>15</v>
      </c>
      <c r="F22" s="1" t="str">
        <f>IFERROR(__xludf.DUMMYFUNCTION("""COMPUTED_VALUE"""),"546446")</f>
        <v>546446</v>
      </c>
      <c r="G22" s="4" t="str">
        <f t="shared" si="1"/>
        <v>09/23/2023</v>
      </c>
      <c r="H22" s="4" t="str">
        <f t="shared" si="2"/>
        <v>3/31/1973</v>
      </c>
      <c r="I22" s="4" t="str">
        <f t="shared" si="3"/>
        <v>Basic</v>
      </c>
      <c r="J22" s="4" t="str">
        <f t="shared" si="4"/>
        <v>White</v>
      </c>
    </row>
    <row r="23" ht="14.25" customHeight="1">
      <c r="A23" s="1" t="s">
        <v>1369</v>
      </c>
      <c r="B23" s="1" t="s">
        <v>239</v>
      </c>
      <c r="C23" s="1" t="s">
        <v>7</v>
      </c>
      <c r="D23" s="1" t="s">
        <v>9</v>
      </c>
      <c r="F23" s="1" t="str">
        <f>IFERROR(__xludf.DUMMYFUNCTION("""COMPUTED_VALUE"""),"274486")</f>
        <v>274486</v>
      </c>
      <c r="G23" s="4" t="str">
        <f t="shared" si="1"/>
        <v>09/11/2023</v>
      </c>
      <c r="H23" s="4" t="str">
        <f t="shared" si="2"/>
        <v>4/11/2010</v>
      </c>
      <c r="I23" s="4" t="str">
        <f t="shared" si="3"/>
        <v>Gold</v>
      </c>
      <c r="J23" s="4" t="str">
        <f t="shared" si="4"/>
        <v>White</v>
      </c>
    </row>
    <row r="24" ht="14.25" customHeight="1">
      <c r="A24" s="1" t="s">
        <v>1369</v>
      </c>
      <c r="B24" s="1" t="s">
        <v>239</v>
      </c>
      <c r="C24" s="1" t="s">
        <v>5</v>
      </c>
      <c r="D24" s="1" t="s">
        <v>1370</v>
      </c>
      <c r="F24" s="1" t="str">
        <f>IFERROR(__xludf.DUMMYFUNCTION("""COMPUTED_VALUE"""),"889441")</f>
        <v>889441</v>
      </c>
      <c r="G24" s="4" t="str">
        <f t="shared" si="1"/>
        <v>09/2/2023</v>
      </c>
      <c r="H24" s="4" t="str">
        <f t="shared" si="2"/>
        <v>9/23/2000</v>
      </c>
      <c r="I24" s="4" t="str">
        <f t="shared" si="3"/>
        <v>Basic</v>
      </c>
      <c r="J24" s="4" t="str">
        <f t="shared" si="4"/>
        <v>Asian</v>
      </c>
    </row>
    <row r="25" ht="14.25" customHeight="1">
      <c r="A25" s="1" t="s">
        <v>1369</v>
      </c>
      <c r="B25" s="1" t="s">
        <v>239</v>
      </c>
      <c r="C25" s="1" t="s">
        <v>6</v>
      </c>
      <c r="D25" s="1" t="s">
        <v>21</v>
      </c>
      <c r="F25" s="1" t="str">
        <f>IFERROR(__xludf.DUMMYFUNCTION("""COMPUTED_VALUE"""),"222775")</f>
        <v>222775</v>
      </c>
      <c r="G25" s="4" t="str">
        <f t="shared" si="1"/>
        <v>09/30/2023</v>
      </c>
      <c r="H25" s="4" t="str">
        <f t="shared" si="2"/>
        <v>11/30/1960</v>
      </c>
      <c r="I25" s="4" t="str">
        <f t="shared" si="3"/>
        <v>Basic</v>
      </c>
      <c r="J25" s="4" t="str">
        <f t="shared" si="4"/>
        <v>White</v>
      </c>
    </row>
    <row r="26" ht="14.25" customHeight="1">
      <c r="A26" s="1" t="s">
        <v>1371</v>
      </c>
      <c r="B26" s="1" t="s">
        <v>230</v>
      </c>
      <c r="C26" s="1" t="s">
        <v>7</v>
      </c>
      <c r="D26" s="1" t="s">
        <v>19</v>
      </c>
      <c r="F26" s="1" t="str">
        <f>IFERROR(__xludf.DUMMYFUNCTION("""COMPUTED_VALUE"""),"113596")</f>
        <v>113596</v>
      </c>
      <c r="G26" s="4" t="str">
        <f t="shared" si="1"/>
        <v>09/30/2023</v>
      </c>
      <c r="H26" s="4" t="str">
        <f t="shared" si="2"/>
        <v>11/19/2005</v>
      </c>
      <c r="I26" s="4" t="str">
        <f t="shared" si="3"/>
        <v>Basic</v>
      </c>
      <c r="J26" s="4" t="str">
        <f t="shared" si="4"/>
        <v>Black</v>
      </c>
    </row>
    <row r="27" ht="14.25" customHeight="1">
      <c r="A27" s="1" t="s">
        <v>1371</v>
      </c>
      <c r="B27" s="1" t="s">
        <v>230</v>
      </c>
      <c r="C27" s="1" t="s">
        <v>5</v>
      </c>
      <c r="D27" s="1" t="s">
        <v>1372</v>
      </c>
      <c r="F27" s="1" t="str">
        <f>IFERROR(__xludf.DUMMYFUNCTION("""COMPUTED_VALUE"""),"391064")</f>
        <v>391064</v>
      </c>
      <c r="G27" s="4" t="str">
        <f t="shared" si="1"/>
        <v>09/23/2023</v>
      </c>
      <c r="H27" s="4" t="str">
        <f t="shared" si="2"/>
        <v>9/7/1959</v>
      </c>
      <c r="I27" s="4" t="str">
        <f t="shared" si="3"/>
        <v>Gold</v>
      </c>
      <c r="J27" s="4" t="str">
        <f t="shared" si="4"/>
        <v>Other</v>
      </c>
    </row>
    <row r="28" ht="14.25" customHeight="1">
      <c r="A28" s="1" t="s">
        <v>1371</v>
      </c>
      <c r="B28" s="1" t="s">
        <v>230</v>
      </c>
      <c r="C28" s="1" t="s">
        <v>6</v>
      </c>
      <c r="D28" s="1" t="s">
        <v>15</v>
      </c>
      <c r="F28" s="1" t="str">
        <f>IFERROR(__xludf.DUMMYFUNCTION("""COMPUTED_VALUE"""),"662004")</f>
        <v>662004</v>
      </c>
      <c r="G28" s="4" t="str">
        <f t="shared" si="1"/>
        <v>09/3/2023</v>
      </c>
      <c r="H28" s="4" t="str">
        <f t="shared" si="2"/>
        <v>4/3/2014</v>
      </c>
      <c r="I28" s="4" t="str">
        <f t="shared" si="3"/>
        <v>Platinum</v>
      </c>
      <c r="J28" s="4" t="str">
        <f t="shared" si="4"/>
        <v>Black</v>
      </c>
    </row>
    <row r="29" ht="14.25" customHeight="1">
      <c r="A29" s="1" t="s">
        <v>1373</v>
      </c>
      <c r="B29" s="1" t="s">
        <v>223</v>
      </c>
      <c r="C29" s="1" t="s">
        <v>7</v>
      </c>
      <c r="D29" s="1" t="s">
        <v>9</v>
      </c>
      <c r="F29" s="1" t="str">
        <f>IFERROR(__xludf.DUMMYFUNCTION("""COMPUTED_VALUE"""),"339282")</f>
        <v>339282</v>
      </c>
      <c r="G29" s="4" t="str">
        <f t="shared" si="1"/>
        <v>09/16/2023</v>
      </c>
      <c r="H29" s="4" t="str">
        <f t="shared" si="2"/>
        <v>10/31/1968</v>
      </c>
      <c r="I29" s="4" t="str">
        <f t="shared" si="3"/>
        <v>Basic</v>
      </c>
      <c r="J29" s="4" t="str">
        <f t="shared" si="4"/>
        <v>Other</v>
      </c>
    </row>
    <row r="30" ht="14.25" customHeight="1">
      <c r="A30" s="1" t="s">
        <v>1373</v>
      </c>
      <c r="B30" s="1" t="s">
        <v>223</v>
      </c>
      <c r="C30" s="1" t="s">
        <v>5</v>
      </c>
      <c r="D30" s="1" t="s">
        <v>1374</v>
      </c>
      <c r="F30" s="1" t="str">
        <f>IFERROR(__xludf.DUMMYFUNCTION("""COMPUTED_VALUE"""),"382180")</f>
        <v>382180</v>
      </c>
      <c r="G30" s="4" t="str">
        <f t="shared" si="1"/>
        <v>09/16/2023</v>
      </c>
      <c r="H30" s="4" t="str">
        <f t="shared" si="2"/>
        <v>12/14/1975</v>
      </c>
      <c r="I30" s="4" t="str">
        <f t="shared" si="3"/>
        <v>Platinum</v>
      </c>
      <c r="J30" s="4" t="str">
        <f t="shared" si="4"/>
        <v>Other</v>
      </c>
    </row>
    <row r="31" ht="14.25" customHeight="1">
      <c r="A31" s="1" t="s">
        <v>1373</v>
      </c>
      <c r="B31" s="1" t="s">
        <v>223</v>
      </c>
      <c r="C31" s="1" t="s">
        <v>6</v>
      </c>
      <c r="D31" s="1" t="s">
        <v>21</v>
      </c>
      <c r="F31" s="1" t="str">
        <f>IFERROR(__xludf.DUMMYFUNCTION("""COMPUTED_VALUE"""),"272178")</f>
        <v>272178</v>
      </c>
      <c r="G31" s="4" t="str">
        <f t="shared" si="1"/>
        <v>09/28/2023</v>
      </c>
      <c r="H31" s="4" t="str">
        <f t="shared" si="2"/>
        <v>3/3/1985</v>
      </c>
      <c r="I31" s="4" t="str">
        <f t="shared" si="3"/>
        <v>Gold</v>
      </c>
      <c r="J31" s="4" t="str">
        <f t="shared" si="4"/>
        <v>White</v>
      </c>
    </row>
    <row r="32" ht="14.25" customHeight="1">
      <c r="A32" s="1" t="s">
        <v>1375</v>
      </c>
      <c r="B32" s="1" t="s">
        <v>203</v>
      </c>
      <c r="C32" s="1" t="s">
        <v>7</v>
      </c>
      <c r="D32" s="1" t="s">
        <v>19</v>
      </c>
      <c r="F32" s="1" t="str">
        <f>IFERROR(__xludf.DUMMYFUNCTION("""COMPUTED_VALUE"""),"861565")</f>
        <v>861565</v>
      </c>
      <c r="G32" s="4" t="str">
        <f t="shared" si="1"/>
        <v>09/30/2023</v>
      </c>
      <c r="H32" s="4" t="str">
        <f t="shared" si="2"/>
        <v>5/19/1996</v>
      </c>
      <c r="I32" s="4" t="str">
        <f t="shared" si="3"/>
        <v>Basic</v>
      </c>
      <c r="J32" s="4" t="str">
        <f t="shared" si="4"/>
        <v>Black</v>
      </c>
    </row>
    <row r="33" ht="14.25" customHeight="1">
      <c r="A33" s="1" t="s">
        <v>1375</v>
      </c>
      <c r="B33" s="1" t="s">
        <v>203</v>
      </c>
      <c r="C33" s="1" t="s">
        <v>5</v>
      </c>
      <c r="D33" s="1" t="s">
        <v>1376</v>
      </c>
      <c r="F33" s="1" t="str">
        <f>IFERROR(__xludf.DUMMYFUNCTION("""COMPUTED_VALUE"""),"901811")</f>
        <v>901811</v>
      </c>
      <c r="G33" s="4" t="str">
        <f t="shared" si="1"/>
        <v>09/18/2023</v>
      </c>
      <c r="H33" s="4" t="str">
        <f t="shared" si="2"/>
        <v>8/28/1968</v>
      </c>
      <c r="I33" s="4" t="str">
        <f t="shared" si="3"/>
        <v>Basic</v>
      </c>
      <c r="J33" s="4" t="str">
        <f t="shared" si="4"/>
        <v>White</v>
      </c>
    </row>
    <row r="34" ht="14.25" customHeight="1">
      <c r="A34" s="1" t="s">
        <v>1375</v>
      </c>
      <c r="B34" s="1" t="s">
        <v>203</v>
      </c>
      <c r="C34" s="1" t="s">
        <v>6</v>
      </c>
      <c r="D34" s="1" t="s">
        <v>11</v>
      </c>
      <c r="F34" s="1" t="str">
        <f>IFERROR(__xludf.DUMMYFUNCTION("""COMPUTED_VALUE"""),"451570")</f>
        <v>451570</v>
      </c>
      <c r="G34" s="4" t="str">
        <f t="shared" si="1"/>
        <v>09/4/2023</v>
      </c>
      <c r="H34" s="4" t="str">
        <f t="shared" si="2"/>
        <v>4/21/1974</v>
      </c>
      <c r="I34" s="4" t="str">
        <f t="shared" si="3"/>
        <v>Gold</v>
      </c>
      <c r="J34" s="4" t="str">
        <f t="shared" si="4"/>
        <v>Other</v>
      </c>
    </row>
    <row r="35" ht="14.25" customHeight="1">
      <c r="A35" s="1" t="s">
        <v>1377</v>
      </c>
      <c r="B35" s="1" t="s">
        <v>194</v>
      </c>
      <c r="C35" s="1" t="s">
        <v>7</v>
      </c>
      <c r="D35" s="1" t="s">
        <v>13</v>
      </c>
      <c r="F35" s="1" t="str">
        <f>IFERROR(__xludf.DUMMYFUNCTION("""COMPUTED_VALUE"""),"497693")</f>
        <v>497693</v>
      </c>
      <c r="G35" s="4" t="str">
        <f t="shared" si="1"/>
        <v>09/19/2023</v>
      </c>
      <c r="H35" s="4" t="str">
        <f t="shared" si="2"/>
        <v>3/14/1970</v>
      </c>
      <c r="I35" s="4" t="str">
        <f t="shared" si="3"/>
        <v>Platinum</v>
      </c>
      <c r="J35" s="4" t="str">
        <f t="shared" si="4"/>
        <v>Other</v>
      </c>
    </row>
    <row r="36" ht="14.25" customHeight="1">
      <c r="A36" s="1" t="s">
        <v>1377</v>
      </c>
      <c r="B36" s="1" t="s">
        <v>194</v>
      </c>
      <c r="C36" s="1" t="s">
        <v>5</v>
      </c>
      <c r="D36" s="1" t="s">
        <v>1378</v>
      </c>
      <c r="F36" s="1" t="str">
        <f>IFERROR(__xludf.DUMMYFUNCTION("""COMPUTED_VALUE"""),"569494")</f>
        <v>569494</v>
      </c>
      <c r="G36" s="4" t="str">
        <f t="shared" si="1"/>
        <v>09/1/2023</v>
      </c>
      <c r="H36" s="4" t="str">
        <f t="shared" si="2"/>
        <v>8/30/1976</v>
      </c>
      <c r="I36" s="4" t="str">
        <f t="shared" si="3"/>
        <v>Gold</v>
      </c>
      <c r="J36" s="4" t="str">
        <f t="shared" si="4"/>
        <v>Black</v>
      </c>
    </row>
    <row r="37" ht="14.25" customHeight="1">
      <c r="A37" s="1" t="s">
        <v>1377</v>
      </c>
      <c r="B37" s="1" t="s">
        <v>194</v>
      </c>
      <c r="C37" s="1" t="s">
        <v>6</v>
      </c>
      <c r="D37" s="1" t="s">
        <v>21</v>
      </c>
      <c r="F37" s="1" t="str">
        <f>IFERROR(__xludf.DUMMYFUNCTION("""COMPUTED_VALUE"""),"719232")</f>
        <v>719232</v>
      </c>
      <c r="G37" s="4" t="str">
        <f t="shared" si="1"/>
        <v>09/17/2023</v>
      </c>
      <c r="H37" s="4" t="str">
        <f t="shared" si="2"/>
        <v>3/6/1983</v>
      </c>
      <c r="I37" s="4" t="str">
        <f t="shared" si="3"/>
        <v>Platinum</v>
      </c>
      <c r="J37" s="4" t="str">
        <f t="shared" si="4"/>
        <v>White</v>
      </c>
    </row>
    <row r="38" ht="14.25" customHeight="1">
      <c r="A38" s="1" t="s">
        <v>1379</v>
      </c>
      <c r="B38" s="1" t="s">
        <v>197</v>
      </c>
      <c r="C38" s="1" t="s">
        <v>7</v>
      </c>
      <c r="D38" s="1" t="s">
        <v>25</v>
      </c>
      <c r="F38" s="1" t="str">
        <f>IFERROR(__xludf.DUMMYFUNCTION("""COMPUTED_VALUE"""),"158323")</f>
        <v>158323</v>
      </c>
      <c r="G38" s="4" t="str">
        <f t="shared" si="1"/>
        <v>09/24/2023</v>
      </c>
      <c r="H38" s="4" t="str">
        <f t="shared" si="2"/>
        <v>5/7/1973</v>
      </c>
      <c r="I38" s="4" t="str">
        <f t="shared" si="3"/>
        <v>Platinum</v>
      </c>
      <c r="J38" s="4" t="str">
        <f t="shared" si="4"/>
        <v>White</v>
      </c>
    </row>
    <row r="39" ht="14.25" customHeight="1">
      <c r="A39" s="1" t="s">
        <v>1379</v>
      </c>
      <c r="B39" s="1" t="s">
        <v>197</v>
      </c>
      <c r="C39" s="1" t="s">
        <v>5</v>
      </c>
      <c r="D39" s="1" t="s">
        <v>1380</v>
      </c>
      <c r="F39" s="1" t="str">
        <f>IFERROR(__xludf.DUMMYFUNCTION("""COMPUTED_VALUE"""),"931023")</f>
        <v>931023</v>
      </c>
      <c r="G39" s="4" t="str">
        <f t="shared" si="1"/>
        <v>09/7/2023</v>
      </c>
      <c r="H39" s="4" t="str">
        <f t="shared" si="2"/>
        <v>3/5/1985</v>
      </c>
      <c r="I39" s="4" t="str">
        <f t="shared" si="3"/>
        <v>Platinum</v>
      </c>
      <c r="J39" s="4" t="str">
        <f t="shared" si="4"/>
        <v>Black</v>
      </c>
    </row>
    <row r="40" ht="14.25" customHeight="1">
      <c r="A40" s="1" t="s">
        <v>1379</v>
      </c>
      <c r="B40" s="1" t="s">
        <v>197</v>
      </c>
      <c r="C40" s="1" t="s">
        <v>6</v>
      </c>
      <c r="D40" s="1" t="s">
        <v>15</v>
      </c>
      <c r="F40" s="1" t="str">
        <f>IFERROR(__xludf.DUMMYFUNCTION("""COMPUTED_VALUE"""),"567696")</f>
        <v>567696</v>
      </c>
      <c r="G40" s="4" t="str">
        <f t="shared" si="1"/>
        <v>09/9/2023</v>
      </c>
      <c r="H40" s="4" t="str">
        <f t="shared" si="2"/>
        <v>9/17/1943</v>
      </c>
      <c r="I40" s="4" t="str">
        <f t="shared" si="3"/>
        <v>Gold</v>
      </c>
      <c r="J40" s="4" t="str">
        <f t="shared" si="4"/>
        <v>Black</v>
      </c>
    </row>
    <row r="41" ht="14.25" customHeight="1">
      <c r="A41" s="1" t="s">
        <v>1381</v>
      </c>
      <c r="B41" s="1" t="s">
        <v>197</v>
      </c>
      <c r="C41" s="1" t="s">
        <v>7</v>
      </c>
      <c r="D41" s="1" t="s">
        <v>13</v>
      </c>
      <c r="F41" s="1" t="str">
        <f>IFERROR(__xludf.DUMMYFUNCTION("""COMPUTED_VALUE"""),"356495")</f>
        <v>356495</v>
      </c>
      <c r="G41" s="4" t="str">
        <f t="shared" si="1"/>
        <v>09/20/2023</v>
      </c>
      <c r="H41" s="4" t="str">
        <f t="shared" si="2"/>
        <v>2/2/1981</v>
      </c>
      <c r="I41" s="4" t="str">
        <f t="shared" si="3"/>
        <v>Platinum</v>
      </c>
      <c r="J41" s="4" t="str">
        <f t="shared" si="4"/>
        <v>White</v>
      </c>
    </row>
    <row r="42" ht="14.25" customHeight="1">
      <c r="A42" s="1" t="s">
        <v>1381</v>
      </c>
      <c r="B42" s="1" t="s">
        <v>197</v>
      </c>
      <c r="C42" s="1" t="s">
        <v>5</v>
      </c>
      <c r="D42" s="1" t="s">
        <v>1382</v>
      </c>
      <c r="F42" s="1" t="str">
        <f>IFERROR(__xludf.DUMMYFUNCTION("""COMPUTED_VALUE"""),"314876")</f>
        <v>314876</v>
      </c>
      <c r="G42" s="4" t="str">
        <f t="shared" si="1"/>
        <v>09/29/2023</v>
      </c>
      <c r="H42" s="4" t="str">
        <f t="shared" si="2"/>
        <v>2/13/2013</v>
      </c>
      <c r="I42" s="4" t="str">
        <f t="shared" si="3"/>
        <v>Basic</v>
      </c>
      <c r="J42" s="4" t="str">
        <f t="shared" si="4"/>
        <v>Asian</v>
      </c>
    </row>
    <row r="43" ht="14.25" customHeight="1">
      <c r="A43" s="1" t="s">
        <v>1381</v>
      </c>
      <c r="B43" s="1" t="s">
        <v>197</v>
      </c>
      <c r="C43" s="1" t="s">
        <v>6</v>
      </c>
      <c r="D43" s="1" t="s">
        <v>21</v>
      </c>
      <c r="F43" s="1" t="str">
        <f>IFERROR(__xludf.DUMMYFUNCTION("""COMPUTED_VALUE"""),"148755")</f>
        <v>148755</v>
      </c>
      <c r="G43" s="4" t="str">
        <f t="shared" si="1"/>
        <v>09/17/2023</v>
      </c>
      <c r="H43" s="4" t="str">
        <f t="shared" si="2"/>
        <v>10/21/1970</v>
      </c>
      <c r="I43" s="4" t="str">
        <f t="shared" si="3"/>
        <v>Platinum</v>
      </c>
      <c r="J43" s="4" t="str">
        <f t="shared" si="4"/>
        <v>White</v>
      </c>
    </row>
    <row r="44" ht="14.25" customHeight="1">
      <c r="A44" s="1" t="s">
        <v>1383</v>
      </c>
      <c r="B44" s="1" t="s">
        <v>185</v>
      </c>
      <c r="C44" s="1" t="s">
        <v>7</v>
      </c>
      <c r="D44" s="1" t="s">
        <v>19</v>
      </c>
      <c r="F44" s="1" t="str">
        <f>IFERROR(__xludf.DUMMYFUNCTION("""COMPUTED_VALUE"""),"207622")</f>
        <v>207622</v>
      </c>
      <c r="G44" s="4" t="str">
        <f t="shared" si="1"/>
        <v>09/22/2023</v>
      </c>
      <c r="H44" s="4" t="str">
        <f t="shared" si="2"/>
        <v>12/29/1959</v>
      </c>
      <c r="I44" s="4" t="str">
        <f t="shared" si="3"/>
        <v>Platinum</v>
      </c>
      <c r="J44" s="4" t="str">
        <f t="shared" si="4"/>
        <v>White</v>
      </c>
    </row>
    <row r="45" ht="14.25" customHeight="1">
      <c r="A45" s="1" t="s">
        <v>1383</v>
      </c>
      <c r="B45" s="1" t="s">
        <v>185</v>
      </c>
      <c r="C45" s="1" t="s">
        <v>5</v>
      </c>
      <c r="D45" s="1" t="s">
        <v>329</v>
      </c>
      <c r="F45" s="1" t="str">
        <f>IFERROR(__xludf.DUMMYFUNCTION("""COMPUTED_VALUE"""),"743567")</f>
        <v>743567</v>
      </c>
      <c r="G45" s="4" t="str">
        <f t="shared" si="1"/>
        <v>09/12/2023</v>
      </c>
      <c r="H45" s="4" t="str">
        <f t="shared" si="2"/>
        <v>9/19/1971</v>
      </c>
      <c r="I45" s="4" t="str">
        <f t="shared" si="3"/>
        <v>Platinum</v>
      </c>
      <c r="J45" s="4" t="str">
        <f t="shared" si="4"/>
        <v>Other</v>
      </c>
    </row>
    <row r="46" ht="14.25" customHeight="1">
      <c r="A46" s="1" t="s">
        <v>1383</v>
      </c>
      <c r="B46" s="1" t="s">
        <v>185</v>
      </c>
      <c r="C46" s="1" t="s">
        <v>6</v>
      </c>
      <c r="D46" s="1" t="s">
        <v>15</v>
      </c>
      <c r="F46" s="1" t="str">
        <f>IFERROR(__xludf.DUMMYFUNCTION("""COMPUTED_VALUE"""),"909727")</f>
        <v>909727</v>
      </c>
      <c r="G46" s="4" t="str">
        <f t="shared" si="1"/>
        <v>09/26/2023</v>
      </c>
      <c r="H46" s="4" t="str">
        <f t="shared" si="2"/>
        <v>1/20/2011</v>
      </c>
      <c r="I46" s="4" t="str">
        <f t="shared" si="3"/>
        <v>Gold</v>
      </c>
      <c r="J46" s="4" t="str">
        <f t="shared" si="4"/>
        <v>Asian</v>
      </c>
    </row>
    <row r="47" ht="14.25" customHeight="1">
      <c r="A47" s="1" t="s">
        <v>1384</v>
      </c>
      <c r="B47" s="1" t="s">
        <v>317</v>
      </c>
      <c r="C47" s="1" t="s">
        <v>7</v>
      </c>
      <c r="D47" s="1" t="s">
        <v>13</v>
      </c>
      <c r="F47" s="1" t="str">
        <f>IFERROR(__xludf.DUMMYFUNCTION("""COMPUTED_VALUE"""),"921939")</f>
        <v>921939</v>
      </c>
      <c r="G47" s="4" t="str">
        <f t="shared" si="1"/>
        <v>09/29/2023</v>
      </c>
      <c r="H47" s="4" t="str">
        <f t="shared" si="2"/>
        <v>2/5/1963</v>
      </c>
      <c r="I47" s="4" t="str">
        <f t="shared" si="3"/>
        <v>Gold</v>
      </c>
      <c r="J47" s="4" t="str">
        <f t="shared" si="4"/>
        <v>Other</v>
      </c>
    </row>
    <row r="48" ht="14.25" customHeight="1">
      <c r="A48" s="1" t="s">
        <v>1384</v>
      </c>
      <c r="B48" s="1" t="s">
        <v>317</v>
      </c>
      <c r="C48" s="1" t="s">
        <v>5</v>
      </c>
      <c r="D48" s="1" t="s">
        <v>1385</v>
      </c>
      <c r="F48" s="1" t="str">
        <f>IFERROR(__xludf.DUMMYFUNCTION("""COMPUTED_VALUE"""),"660162")</f>
        <v>660162</v>
      </c>
      <c r="G48" s="4" t="str">
        <f t="shared" si="1"/>
        <v>09/16/2023</v>
      </c>
      <c r="H48" s="4" t="str">
        <f t="shared" si="2"/>
        <v>12/2/2001</v>
      </c>
      <c r="I48" s="4" t="str">
        <f t="shared" si="3"/>
        <v>Platinum</v>
      </c>
      <c r="J48" s="4" t="str">
        <f t="shared" si="4"/>
        <v>White</v>
      </c>
    </row>
    <row r="49" ht="14.25" customHeight="1">
      <c r="A49" s="1" t="s">
        <v>1384</v>
      </c>
      <c r="B49" s="1" t="s">
        <v>317</v>
      </c>
      <c r="C49" s="1" t="s">
        <v>6</v>
      </c>
      <c r="D49" s="1" t="s">
        <v>11</v>
      </c>
      <c r="F49" s="1" t="str">
        <f>IFERROR(__xludf.DUMMYFUNCTION("""COMPUTED_VALUE"""),"212028")</f>
        <v>212028</v>
      </c>
      <c r="G49" s="4" t="str">
        <f t="shared" si="1"/>
        <v>09/8/2023</v>
      </c>
      <c r="H49" s="4" t="str">
        <f t="shared" si="2"/>
        <v>2/19/2008</v>
      </c>
      <c r="I49" s="4" t="str">
        <f t="shared" si="3"/>
        <v>Basic</v>
      </c>
      <c r="J49" s="4" t="str">
        <f t="shared" si="4"/>
        <v>White</v>
      </c>
    </row>
    <row r="50" ht="14.25" customHeight="1">
      <c r="A50" s="1" t="s">
        <v>1386</v>
      </c>
      <c r="B50" s="1" t="s">
        <v>197</v>
      </c>
      <c r="C50" s="1" t="s">
        <v>7</v>
      </c>
      <c r="D50" s="1" t="s">
        <v>9</v>
      </c>
      <c r="F50" s="1" t="str">
        <f>IFERROR(__xludf.DUMMYFUNCTION("""COMPUTED_VALUE"""),"314233")</f>
        <v>314233</v>
      </c>
      <c r="G50" s="4" t="str">
        <f t="shared" si="1"/>
        <v>09/9/2023</v>
      </c>
      <c r="H50" s="4" t="str">
        <f t="shared" si="2"/>
        <v>12/16/2018</v>
      </c>
      <c r="I50" s="4" t="str">
        <f t="shared" si="3"/>
        <v>Platinum</v>
      </c>
      <c r="J50" s="4" t="str">
        <f t="shared" si="4"/>
        <v>Asian</v>
      </c>
    </row>
    <row r="51" ht="14.25" customHeight="1">
      <c r="A51" s="1" t="s">
        <v>1386</v>
      </c>
      <c r="B51" s="1" t="s">
        <v>197</v>
      </c>
      <c r="C51" s="1" t="s">
        <v>5</v>
      </c>
      <c r="D51" s="1" t="s">
        <v>1387</v>
      </c>
      <c r="F51" s="1" t="str">
        <f>IFERROR(__xludf.DUMMYFUNCTION("""COMPUTED_VALUE"""),"385540")</f>
        <v>385540</v>
      </c>
      <c r="G51" s="4" t="str">
        <f t="shared" si="1"/>
        <v>09/30/2023</v>
      </c>
      <c r="H51" s="4" t="str">
        <f t="shared" si="2"/>
        <v>2/1/1943</v>
      </c>
      <c r="I51" s="4" t="str">
        <f t="shared" si="3"/>
        <v>Gold</v>
      </c>
      <c r="J51" s="4" t="str">
        <f t="shared" si="4"/>
        <v>White</v>
      </c>
    </row>
    <row r="52" ht="14.25" customHeight="1">
      <c r="A52" s="1" t="s">
        <v>1386</v>
      </c>
      <c r="B52" s="1" t="s">
        <v>197</v>
      </c>
      <c r="C52" s="1" t="s">
        <v>6</v>
      </c>
      <c r="D52" s="1" t="s">
        <v>21</v>
      </c>
      <c r="F52" s="1" t="str">
        <f>IFERROR(__xludf.DUMMYFUNCTION("""COMPUTED_VALUE"""),"528074")</f>
        <v>528074</v>
      </c>
      <c r="G52" s="4" t="str">
        <f t="shared" si="1"/>
        <v>09/13/2023</v>
      </c>
      <c r="H52" s="4" t="str">
        <f t="shared" si="2"/>
        <v>5/26/2013</v>
      </c>
      <c r="I52" s="4" t="str">
        <f t="shared" si="3"/>
        <v>Gold</v>
      </c>
      <c r="J52" s="4" t="str">
        <f t="shared" si="4"/>
        <v>Other</v>
      </c>
    </row>
    <row r="53" ht="14.25" customHeight="1">
      <c r="A53" s="1" t="s">
        <v>1388</v>
      </c>
      <c r="B53" s="1" t="s">
        <v>208</v>
      </c>
      <c r="C53" s="1" t="s">
        <v>7</v>
      </c>
      <c r="D53" s="1" t="s">
        <v>13</v>
      </c>
      <c r="F53" s="1" t="str">
        <f>IFERROR(__xludf.DUMMYFUNCTION("""COMPUTED_VALUE"""),"598899")</f>
        <v>598899</v>
      </c>
      <c r="G53" s="4" t="str">
        <f t="shared" si="1"/>
        <v>09/19/2023</v>
      </c>
      <c r="H53" s="4" t="str">
        <f t="shared" si="2"/>
        <v>1/10/1999</v>
      </c>
      <c r="I53" s="4" t="str">
        <f t="shared" si="3"/>
        <v>Basic</v>
      </c>
      <c r="J53" s="4" t="str">
        <f t="shared" si="4"/>
        <v>Black</v>
      </c>
    </row>
    <row r="54" ht="14.25" customHeight="1">
      <c r="A54" s="1" t="s">
        <v>1388</v>
      </c>
      <c r="B54" s="1" t="s">
        <v>208</v>
      </c>
      <c r="C54" s="1" t="s">
        <v>5</v>
      </c>
      <c r="D54" s="1" t="s">
        <v>1389</v>
      </c>
      <c r="F54" s="1" t="str">
        <f>IFERROR(__xludf.DUMMYFUNCTION("""COMPUTED_VALUE"""),"740085")</f>
        <v>740085</v>
      </c>
      <c r="G54" s="4" t="str">
        <f t="shared" si="1"/>
        <v>09/11/2023</v>
      </c>
      <c r="H54" s="4" t="str">
        <f t="shared" si="2"/>
        <v>10/8/2002</v>
      </c>
      <c r="I54" s="4" t="str">
        <f t="shared" si="3"/>
        <v>Platinum</v>
      </c>
      <c r="J54" s="4" t="str">
        <f t="shared" si="4"/>
        <v>Other</v>
      </c>
    </row>
    <row r="55" ht="14.25" customHeight="1">
      <c r="A55" s="1" t="s">
        <v>1388</v>
      </c>
      <c r="B55" s="1" t="s">
        <v>208</v>
      </c>
      <c r="C55" s="1" t="s">
        <v>6</v>
      </c>
      <c r="D55" s="1" t="s">
        <v>21</v>
      </c>
      <c r="F55" s="1" t="str">
        <f>IFERROR(__xludf.DUMMYFUNCTION("""COMPUTED_VALUE"""),"325886")</f>
        <v>325886</v>
      </c>
      <c r="G55" s="4" t="str">
        <f t="shared" si="1"/>
        <v>09/14/2023</v>
      </c>
      <c r="H55" s="4" t="str">
        <f t="shared" si="2"/>
        <v>5/19/1941</v>
      </c>
      <c r="I55" s="4" t="str">
        <f t="shared" si="3"/>
        <v>Gold</v>
      </c>
      <c r="J55" s="4" t="str">
        <f t="shared" si="4"/>
        <v>Asian</v>
      </c>
    </row>
    <row r="56" ht="14.25" customHeight="1">
      <c r="A56" s="1" t="s">
        <v>1390</v>
      </c>
      <c r="B56" s="1" t="s">
        <v>203</v>
      </c>
      <c r="C56" s="1" t="s">
        <v>7</v>
      </c>
      <c r="D56" s="1" t="s">
        <v>19</v>
      </c>
      <c r="F56" s="1" t="str">
        <f>IFERROR(__xludf.DUMMYFUNCTION("""COMPUTED_VALUE"""),"368497")</f>
        <v>368497</v>
      </c>
      <c r="G56" s="4" t="str">
        <f t="shared" si="1"/>
        <v>09/28/2023</v>
      </c>
      <c r="H56" s="4" t="str">
        <f t="shared" si="2"/>
        <v>7/29/1991</v>
      </c>
      <c r="I56" s="4" t="str">
        <f t="shared" si="3"/>
        <v>Basic</v>
      </c>
      <c r="J56" s="4" t="str">
        <f t="shared" si="4"/>
        <v>Other</v>
      </c>
    </row>
    <row r="57" ht="14.25" customHeight="1">
      <c r="A57" s="1" t="s">
        <v>1390</v>
      </c>
      <c r="B57" s="1" t="s">
        <v>203</v>
      </c>
      <c r="C57" s="1" t="s">
        <v>5</v>
      </c>
      <c r="D57" s="1" t="s">
        <v>1391</v>
      </c>
      <c r="F57" s="1" t="str">
        <f>IFERROR(__xludf.DUMMYFUNCTION("""COMPUTED_VALUE"""),"145716")</f>
        <v>145716</v>
      </c>
      <c r="G57" s="4" t="str">
        <f t="shared" si="1"/>
        <v>09/5/2023</v>
      </c>
      <c r="H57" s="4" t="str">
        <f t="shared" si="2"/>
        <v>3/20/1995</v>
      </c>
      <c r="I57" s="4" t="str">
        <f t="shared" si="3"/>
        <v>Gold</v>
      </c>
      <c r="J57" s="4" t="str">
        <f t="shared" si="4"/>
        <v>Asian</v>
      </c>
    </row>
    <row r="58" ht="14.25" customHeight="1">
      <c r="A58" s="1" t="s">
        <v>1390</v>
      </c>
      <c r="B58" s="1" t="s">
        <v>203</v>
      </c>
      <c r="C58" s="1" t="s">
        <v>6</v>
      </c>
      <c r="D58" s="1" t="s">
        <v>15</v>
      </c>
      <c r="F58" s="1" t="str">
        <f>IFERROR(__xludf.DUMMYFUNCTION("""COMPUTED_VALUE"""),"652834")</f>
        <v>652834</v>
      </c>
      <c r="G58" s="4" t="str">
        <f t="shared" si="1"/>
        <v>09/10/2023</v>
      </c>
      <c r="H58" s="4" t="str">
        <f t="shared" si="2"/>
        <v>11/19/1982</v>
      </c>
      <c r="I58" s="4" t="str">
        <f t="shared" si="3"/>
        <v>Gold</v>
      </c>
      <c r="J58" s="4" t="str">
        <f t="shared" si="4"/>
        <v>Black</v>
      </c>
    </row>
    <row r="59" ht="14.25" customHeight="1">
      <c r="A59" s="1" t="s">
        <v>1392</v>
      </c>
      <c r="B59" s="1" t="s">
        <v>233</v>
      </c>
      <c r="C59" s="1" t="s">
        <v>7</v>
      </c>
      <c r="D59" s="1" t="s">
        <v>25</v>
      </c>
      <c r="F59" s="1" t="str">
        <f>IFERROR(__xludf.DUMMYFUNCTION("""COMPUTED_VALUE"""),"611755")</f>
        <v>611755</v>
      </c>
      <c r="G59" s="4" t="str">
        <f t="shared" si="1"/>
        <v>09/28/2023</v>
      </c>
      <c r="H59" s="4" t="str">
        <f t="shared" si="2"/>
        <v>2/11/1949</v>
      </c>
      <c r="I59" s="4" t="str">
        <f t="shared" si="3"/>
        <v>Platinum</v>
      </c>
      <c r="J59" s="4" t="str">
        <f t="shared" si="4"/>
        <v>Other</v>
      </c>
    </row>
    <row r="60" ht="14.25" customHeight="1">
      <c r="A60" s="1" t="s">
        <v>1392</v>
      </c>
      <c r="B60" s="1" t="s">
        <v>233</v>
      </c>
      <c r="C60" s="1" t="s">
        <v>5</v>
      </c>
      <c r="D60" s="1" t="s">
        <v>1393</v>
      </c>
      <c r="F60" s="1" t="str">
        <f>IFERROR(__xludf.DUMMYFUNCTION("""COMPUTED_VALUE"""),"817709")</f>
        <v>817709</v>
      </c>
      <c r="G60" s="4" t="str">
        <f t="shared" si="1"/>
        <v>09/12/2023</v>
      </c>
      <c r="H60" s="4" t="str">
        <f t="shared" si="2"/>
        <v>11/3/1988</v>
      </c>
      <c r="I60" s="4" t="str">
        <f t="shared" si="3"/>
        <v>Platinum</v>
      </c>
      <c r="J60" s="4" t="str">
        <f t="shared" si="4"/>
        <v>Other</v>
      </c>
    </row>
    <row r="61" ht="14.25" customHeight="1">
      <c r="A61" s="1" t="s">
        <v>1392</v>
      </c>
      <c r="B61" s="1" t="s">
        <v>233</v>
      </c>
      <c r="C61" s="1" t="s">
        <v>6</v>
      </c>
      <c r="D61" s="1" t="s">
        <v>21</v>
      </c>
      <c r="F61" s="1" t="str">
        <f>IFERROR(__xludf.DUMMYFUNCTION("""COMPUTED_VALUE"""),"166124")</f>
        <v>166124</v>
      </c>
      <c r="G61" s="4" t="str">
        <f t="shared" si="1"/>
        <v>09/8/2023</v>
      </c>
      <c r="H61" s="4" t="str">
        <f t="shared" si="2"/>
        <v>5/31/1966</v>
      </c>
      <c r="I61" s="4" t="str">
        <f t="shared" si="3"/>
        <v>Gold</v>
      </c>
      <c r="J61" s="4" t="str">
        <f t="shared" si="4"/>
        <v>Black</v>
      </c>
    </row>
    <row r="62" ht="14.25" customHeight="1">
      <c r="A62" s="1" t="s">
        <v>1394</v>
      </c>
      <c r="B62" s="1" t="s">
        <v>307</v>
      </c>
      <c r="C62" s="1" t="s">
        <v>7</v>
      </c>
      <c r="D62" s="1" t="s">
        <v>13</v>
      </c>
      <c r="F62" s="1" t="str">
        <f>IFERROR(__xludf.DUMMYFUNCTION("""COMPUTED_VALUE"""),"939708")</f>
        <v>939708</v>
      </c>
      <c r="G62" s="4" t="str">
        <f t="shared" si="1"/>
        <v>09/30/2023</v>
      </c>
      <c r="H62" s="4" t="str">
        <f t="shared" si="2"/>
        <v>4/1/1971</v>
      </c>
      <c r="I62" s="4" t="str">
        <f t="shared" si="3"/>
        <v>Basic</v>
      </c>
      <c r="J62" s="4" t="str">
        <f t="shared" si="4"/>
        <v>White</v>
      </c>
    </row>
    <row r="63" ht="14.25" customHeight="1">
      <c r="A63" s="1" t="s">
        <v>1394</v>
      </c>
      <c r="B63" s="1" t="s">
        <v>307</v>
      </c>
      <c r="C63" s="1" t="s">
        <v>5</v>
      </c>
      <c r="D63" s="1" t="s">
        <v>1395</v>
      </c>
      <c r="F63" s="1" t="str">
        <f>IFERROR(__xludf.DUMMYFUNCTION("""COMPUTED_VALUE"""),"986393")</f>
        <v>986393</v>
      </c>
      <c r="G63" s="4" t="str">
        <f t="shared" si="1"/>
        <v>09/2/2023</v>
      </c>
      <c r="H63" s="4" t="str">
        <f t="shared" si="2"/>
        <v>12/14/2003</v>
      </c>
      <c r="I63" s="4" t="str">
        <f t="shared" si="3"/>
        <v>Basic</v>
      </c>
      <c r="J63" s="4" t="str">
        <f t="shared" si="4"/>
        <v>Black</v>
      </c>
    </row>
    <row r="64" ht="14.25" customHeight="1">
      <c r="A64" s="1" t="s">
        <v>1394</v>
      </c>
      <c r="B64" s="1" t="s">
        <v>307</v>
      </c>
      <c r="C64" s="1" t="s">
        <v>6</v>
      </c>
      <c r="D64" s="1" t="s">
        <v>21</v>
      </c>
      <c r="F64" s="1" t="str">
        <f>IFERROR(__xludf.DUMMYFUNCTION("""COMPUTED_VALUE"""),"228727")</f>
        <v>228727</v>
      </c>
      <c r="G64" s="4" t="str">
        <f t="shared" si="1"/>
        <v>09/6/2023</v>
      </c>
      <c r="H64" s="4" t="str">
        <f t="shared" si="2"/>
        <v>3/29/1964</v>
      </c>
      <c r="I64" s="4" t="str">
        <f t="shared" si="3"/>
        <v>Platinum</v>
      </c>
      <c r="J64" s="4" t="str">
        <f t="shared" si="4"/>
        <v>Other</v>
      </c>
    </row>
    <row r="65" ht="14.25" customHeight="1">
      <c r="A65" s="1" t="s">
        <v>1396</v>
      </c>
      <c r="B65" s="1" t="s">
        <v>317</v>
      </c>
      <c r="C65" s="1" t="s">
        <v>7</v>
      </c>
      <c r="D65" s="1" t="s">
        <v>13</v>
      </c>
      <c r="F65" s="1" t="str">
        <f>IFERROR(__xludf.DUMMYFUNCTION("""COMPUTED_VALUE"""),"808972")</f>
        <v>808972</v>
      </c>
      <c r="G65" s="4" t="str">
        <f t="shared" si="1"/>
        <v>09/5/2023</v>
      </c>
      <c r="H65" s="4" t="str">
        <f t="shared" si="2"/>
        <v>2/19/2006</v>
      </c>
      <c r="I65" s="4" t="str">
        <f t="shared" si="3"/>
        <v>Platinum</v>
      </c>
      <c r="J65" s="4" t="str">
        <f t="shared" si="4"/>
        <v>Other</v>
      </c>
    </row>
    <row r="66" ht="14.25" customHeight="1">
      <c r="A66" s="1" t="s">
        <v>1396</v>
      </c>
      <c r="B66" s="1" t="s">
        <v>317</v>
      </c>
      <c r="C66" s="1" t="s">
        <v>5</v>
      </c>
      <c r="D66" s="1" t="s">
        <v>1397</v>
      </c>
      <c r="F66" s="1" t="str">
        <f>IFERROR(__xludf.DUMMYFUNCTION("""COMPUTED_VALUE"""),"997703")</f>
        <v>997703</v>
      </c>
      <c r="G66" s="4" t="str">
        <f t="shared" si="1"/>
        <v>09/19/2023</v>
      </c>
      <c r="H66" s="4" t="str">
        <f t="shared" si="2"/>
        <v>1/7/1998</v>
      </c>
      <c r="I66" s="4" t="str">
        <f t="shared" si="3"/>
        <v>Platinum</v>
      </c>
      <c r="J66" s="4" t="str">
        <f t="shared" si="4"/>
        <v>Other</v>
      </c>
    </row>
    <row r="67" ht="14.25" customHeight="1">
      <c r="A67" s="1" t="s">
        <v>1396</v>
      </c>
      <c r="B67" s="1" t="s">
        <v>317</v>
      </c>
      <c r="C67" s="1" t="s">
        <v>6</v>
      </c>
      <c r="D67" s="1" t="s">
        <v>15</v>
      </c>
      <c r="F67" s="1" t="str">
        <f>IFERROR(__xludf.DUMMYFUNCTION("""COMPUTED_VALUE"""),"534626")</f>
        <v>534626</v>
      </c>
      <c r="G67" s="4" t="str">
        <f t="shared" si="1"/>
        <v>09/5/2023</v>
      </c>
      <c r="H67" s="4" t="str">
        <f t="shared" si="2"/>
        <v>6/25/1944</v>
      </c>
      <c r="I67" s="4" t="str">
        <f t="shared" si="3"/>
        <v>Platinum</v>
      </c>
      <c r="J67" s="4" t="str">
        <f t="shared" si="4"/>
        <v>White</v>
      </c>
    </row>
    <row r="68" ht="14.25" customHeight="1">
      <c r="A68" s="1" t="s">
        <v>1398</v>
      </c>
      <c r="B68" s="1" t="s">
        <v>236</v>
      </c>
      <c r="C68" s="1" t="s">
        <v>7</v>
      </c>
      <c r="D68" s="1" t="s">
        <v>19</v>
      </c>
      <c r="F68" s="1" t="str">
        <f>IFERROR(__xludf.DUMMYFUNCTION("""COMPUTED_VALUE"""),"701002")</f>
        <v>701002</v>
      </c>
      <c r="G68" s="4" t="str">
        <f t="shared" si="1"/>
        <v>09/25/2023</v>
      </c>
      <c r="H68" s="4" t="str">
        <f t="shared" si="2"/>
        <v>3/2/1989</v>
      </c>
      <c r="I68" s="4" t="str">
        <f t="shared" si="3"/>
        <v>Gold</v>
      </c>
      <c r="J68" s="4" t="str">
        <f t="shared" si="4"/>
        <v>White</v>
      </c>
    </row>
    <row r="69" ht="14.25" customHeight="1">
      <c r="A69" s="1" t="s">
        <v>1398</v>
      </c>
      <c r="B69" s="1" t="s">
        <v>236</v>
      </c>
      <c r="C69" s="1" t="s">
        <v>5</v>
      </c>
      <c r="D69" s="1" t="s">
        <v>1399</v>
      </c>
      <c r="F69" s="1" t="str">
        <f>IFERROR(__xludf.DUMMYFUNCTION("""COMPUTED_VALUE"""),"232704")</f>
        <v>232704</v>
      </c>
      <c r="G69" s="4" t="str">
        <f t="shared" si="1"/>
        <v>09/17/2023</v>
      </c>
      <c r="H69" s="4" t="str">
        <f t="shared" si="2"/>
        <v>10/20/1956</v>
      </c>
      <c r="I69" s="4" t="str">
        <f t="shared" si="3"/>
        <v>Gold</v>
      </c>
      <c r="J69" s="4" t="str">
        <f t="shared" si="4"/>
        <v>Black</v>
      </c>
    </row>
    <row r="70" ht="14.25" customHeight="1">
      <c r="A70" s="1" t="s">
        <v>1398</v>
      </c>
      <c r="B70" s="1" t="s">
        <v>236</v>
      </c>
      <c r="C70" s="1" t="s">
        <v>6</v>
      </c>
      <c r="D70" s="1" t="s">
        <v>21</v>
      </c>
      <c r="F70" s="1" t="str">
        <f>IFERROR(__xludf.DUMMYFUNCTION("""COMPUTED_VALUE"""),"661243")</f>
        <v>661243</v>
      </c>
      <c r="G70" s="4" t="str">
        <f t="shared" si="1"/>
        <v>09/17/2023</v>
      </c>
      <c r="H70" s="4" t="str">
        <f t="shared" si="2"/>
        <v>11/17/2011</v>
      </c>
      <c r="I70" s="4" t="str">
        <f t="shared" si="3"/>
        <v>Gold</v>
      </c>
      <c r="J70" s="4" t="str">
        <f t="shared" si="4"/>
        <v>Other</v>
      </c>
    </row>
    <row r="71" ht="14.25" customHeight="1">
      <c r="A71" s="1" t="s">
        <v>1400</v>
      </c>
      <c r="B71" s="1" t="s">
        <v>472</v>
      </c>
      <c r="C71" s="1" t="s">
        <v>7</v>
      </c>
      <c r="D71" s="1" t="s">
        <v>13</v>
      </c>
      <c r="F71" s="1" t="str">
        <f>IFERROR(__xludf.DUMMYFUNCTION("""COMPUTED_VALUE"""),"445532")</f>
        <v>445532</v>
      </c>
      <c r="G71" s="4" t="str">
        <f t="shared" si="1"/>
        <v>09/13/2023</v>
      </c>
      <c r="H71" s="4" t="str">
        <f t="shared" si="2"/>
        <v>10/8/1972</v>
      </c>
      <c r="I71" s="4" t="str">
        <f t="shared" si="3"/>
        <v>Basic</v>
      </c>
      <c r="J71" s="4" t="str">
        <f t="shared" si="4"/>
        <v>Black</v>
      </c>
    </row>
    <row r="72" ht="14.25" customHeight="1">
      <c r="A72" s="1" t="s">
        <v>1400</v>
      </c>
      <c r="B72" s="1" t="s">
        <v>472</v>
      </c>
      <c r="C72" s="1" t="s">
        <v>5</v>
      </c>
      <c r="D72" s="1" t="s">
        <v>1401</v>
      </c>
      <c r="F72" s="1" t="str">
        <f>IFERROR(__xludf.DUMMYFUNCTION("""COMPUTED_VALUE"""),"307727")</f>
        <v>307727</v>
      </c>
      <c r="G72" s="4" t="str">
        <f t="shared" si="1"/>
        <v>09/20/2023</v>
      </c>
      <c r="H72" s="4" t="str">
        <f t="shared" si="2"/>
        <v>1/6/1972</v>
      </c>
      <c r="I72" s="4" t="str">
        <f t="shared" si="3"/>
        <v>Basic</v>
      </c>
      <c r="J72" s="4" t="str">
        <f t="shared" si="4"/>
        <v>Other</v>
      </c>
    </row>
    <row r="73" ht="14.25" customHeight="1">
      <c r="A73" s="1" t="s">
        <v>1400</v>
      </c>
      <c r="B73" s="1" t="s">
        <v>472</v>
      </c>
      <c r="C73" s="1" t="s">
        <v>6</v>
      </c>
      <c r="D73" s="1" t="s">
        <v>21</v>
      </c>
      <c r="F73" s="1" t="str">
        <f>IFERROR(__xludf.DUMMYFUNCTION("""COMPUTED_VALUE"""),"319379")</f>
        <v>319379</v>
      </c>
      <c r="G73" s="4" t="str">
        <f t="shared" si="1"/>
        <v>09/15/2023</v>
      </c>
      <c r="H73" s="4" t="str">
        <f t="shared" si="2"/>
        <v>5/6/1974</v>
      </c>
      <c r="I73" s="4" t="str">
        <f t="shared" si="3"/>
        <v>Gold</v>
      </c>
      <c r="J73" s="4" t="str">
        <f t="shared" si="4"/>
        <v>Other</v>
      </c>
    </row>
    <row r="74" ht="14.25" customHeight="1">
      <c r="A74" s="1" t="s">
        <v>1402</v>
      </c>
      <c r="B74" s="1" t="s">
        <v>472</v>
      </c>
      <c r="C74" s="1" t="s">
        <v>7</v>
      </c>
      <c r="D74" s="1" t="s">
        <v>25</v>
      </c>
      <c r="F74" s="1" t="str">
        <f>IFERROR(__xludf.DUMMYFUNCTION("""COMPUTED_VALUE"""),"796180")</f>
        <v>796180</v>
      </c>
      <c r="G74" s="4" t="str">
        <f t="shared" si="1"/>
        <v>09/16/2023</v>
      </c>
      <c r="H74" s="4" t="str">
        <f t="shared" si="2"/>
        <v>3/10/1944</v>
      </c>
      <c r="I74" s="4" t="str">
        <f t="shared" si="3"/>
        <v>Basic</v>
      </c>
      <c r="J74" s="4" t="str">
        <f t="shared" si="4"/>
        <v>Other</v>
      </c>
    </row>
    <row r="75" ht="14.25" customHeight="1">
      <c r="A75" s="1" t="s">
        <v>1402</v>
      </c>
      <c r="B75" s="1" t="s">
        <v>472</v>
      </c>
      <c r="C75" s="1" t="s">
        <v>5</v>
      </c>
      <c r="D75" s="1" t="s">
        <v>1403</v>
      </c>
      <c r="F75" s="1" t="str">
        <f>IFERROR(__xludf.DUMMYFUNCTION("""COMPUTED_VALUE"""),"720200")</f>
        <v>720200</v>
      </c>
      <c r="G75" s="4" t="str">
        <f t="shared" si="1"/>
        <v>09/21/2023</v>
      </c>
      <c r="H75" s="4" t="str">
        <f t="shared" si="2"/>
        <v>12/24/1996</v>
      </c>
      <c r="I75" s="4" t="str">
        <f t="shared" si="3"/>
        <v>Basic</v>
      </c>
      <c r="J75" s="4" t="str">
        <f t="shared" si="4"/>
        <v>Other</v>
      </c>
    </row>
    <row r="76" ht="14.25" customHeight="1">
      <c r="A76" s="1" t="s">
        <v>1402</v>
      </c>
      <c r="B76" s="1" t="s">
        <v>472</v>
      </c>
      <c r="C76" s="1" t="s">
        <v>6</v>
      </c>
      <c r="D76" s="1" t="s">
        <v>21</v>
      </c>
      <c r="F76" s="1" t="str">
        <f>IFERROR(__xludf.DUMMYFUNCTION("""COMPUTED_VALUE"""),"827538")</f>
        <v>827538</v>
      </c>
      <c r="G76" s="4" t="str">
        <f t="shared" si="1"/>
        <v>09/2/2023</v>
      </c>
      <c r="H76" s="4" t="str">
        <f t="shared" si="2"/>
        <v>12/21/1982</v>
      </c>
      <c r="I76" s="4" t="str">
        <f t="shared" si="3"/>
        <v>Gold</v>
      </c>
      <c r="J76" s="4" t="str">
        <f t="shared" si="4"/>
        <v>White</v>
      </c>
    </row>
    <row r="77" ht="14.25" customHeight="1">
      <c r="A77" s="1" t="s">
        <v>1404</v>
      </c>
      <c r="B77" s="1" t="s">
        <v>307</v>
      </c>
      <c r="C77" s="1" t="s">
        <v>7</v>
      </c>
      <c r="D77" s="1" t="s">
        <v>9</v>
      </c>
      <c r="F77" s="1" t="str">
        <f>IFERROR(__xludf.DUMMYFUNCTION("""COMPUTED_VALUE"""),"734567")</f>
        <v>734567</v>
      </c>
      <c r="G77" s="4" t="str">
        <f t="shared" si="1"/>
        <v>09/6/2023</v>
      </c>
      <c r="H77" s="4" t="str">
        <f t="shared" si="2"/>
        <v>1/22/1976</v>
      </c>
      <c r="I77" s="4" t="str">
        <f t="shared" si="3"/>
        <v>Basic</v>
      </c>
      <c r="J77" s="4" t="str">
        <f t="shared" si="4"/>
        <v>Black</v>
      </c>
    </row>
    <row r="78" ht="14.25" customHeight="1">
      <c r="A78" s="1" t="s">
        <v>1404</v>
      </c>
      <c r="B78" s="1" t="s">
        <v>307</v>
      </c>
      <c r="C78" s="1" t="s">
        <v>5</v>
      </c>
      <c r="D78" s="1" t="s">
        <v>1405</v>
      </c>
      <c r="F78" s="1" t="str">
        <f>IFERROR(__xludf.DUMMYFUNCTION("""COMPUTED_VALUE"""),"152219")</f>
        <v>152219</v>
      </c>
      <c r="G78" s="4" t="str">
        <f t="shared" si="1"/>
        <v>09/3/2023</v>
      </c>
      <c r="H78" s="4" t="str">
        <f t="shared" si="2"/>
        <v>11/18/1968</v>
      </c>
      <c r="I78" s="4" t="str">
        <f t="shared" si="3"/>
        <v>Basic</v>
      </c>
      <c r="J78" s="4" t="str">
        <f t="shared" si="4"/>
        <v>Black</v>
      </c>
    </row>
    <row r="79" ht="14.25" customHeight="1">
      <c r="A79" s="1" t="s">
        <v>1404</v>
      </c>
      <c r="B79" s="1" t="s">
        <v>307</v>
      </c>
      <c r="C79" s="1" t="s">
        <v>6</v>
      </c>
      <c r="D79" s="1" t="s">
        <v>15</v>
      </c>
      <c r="F79" s="1" t="str">
        <f>IFERROR(__xludf.DUMMYFUNCTION("""COMPUTED_VALUE"""),"159759")</f>
        <v>159759</v>
      </c>
      <c r="G79" s="4" t="str">
        <f t="shared" si="1"/>
        <v>09/29/2023</v>
      </c>
      <c r="H79" s="4" t="str">
        <f t="shared" si="2"/>
        <v>4/29/1993</v>
      </c>
      <c r="I79" s="4" t="str">
        <f t="shared" si="3"/>
        <v>Gold</v>
      </c>
      <c r="J79" s="4" t="str">
        <f t="shared" si="4"/>
        <v>Black</v>
      </c>
    </row>
    <row r="80" ht="14.25" customHeight="1">
      <c r="A80" s="1" t="s">
        <v>1406</v>
      </c>
      <c r="B80" s="1" t="s">
        <v>292</v>
      </c>
      <c r="C80" s="1" t="s">
        <v>7</v>
      </c>
      <c r="D80" s="1" t="s">
        <v>25</v>
      </c>
      <c r="F80" s="1" t="str">
        <f>IFERROR(__xludf.DUMMYFUNCTION("""COMPUTED_VALUE"""),"155384")</f>
        <v>155384</v>
      </c>
      <c r="G80" s="4" t="str">
        <f t="shared" si="1"/>
        <v>09/9/2023</v>
      </c>
      <c r="H80" s="4" t="str">
        <f t="shared" si="2"/>
        <v>7/4/1992</v>
      </c>
      <c r="I80" s="4" t="str">
        <f t="shared" si="3"/>
        <v>Platinum</v>
      </c>
      <c r="J80" s="4" t="str">
        <f t="shared" si="4"/>
        <v>Asian</v>
      </c>
    </row>
    <row r="81" ht="14.25" customHeight="1">
      <c r="A81" s="1" t="s">
        <v>1406</v>
      </c>
      <c r="B81" s="1" t="s">
        <v>292</v>
      </c>
      <c r="C81" s="1" t="s">
        <v>5</v>
      </c>
      <c r="D81" s="1" t="s">
        <v>1407</v>
      </c>
      <c r="F81" s="1" t="str">
        <f>IFERROR(__xludf.DUMMYFUNCTION("""COMPUTED_VALUE"""),"428406")</f>
        <v>428406</v>
      </c>
      <c r="G81" s="4" t="str">
        <f t="shared" si="1"/>
        <v>09/2/2023</v>
      </c>
      <c r="H81" s="4" t="str">
        <f t="shared" si="2"/>
        <v>8/8/1972</v>
      </c>
      <c r="I81" s="4" t="str">
        <f t="shared" si="3"/>
        <v>Basic</v>
      </c>
      <c r="J81" s="4" t="str">
        <f t="shared" si="4"/>
        <v>Asian</v>
      </c>
    </row>
    <row r="82" ht="14.25" customHeight="1">
      <c r="A82" s="1" t="s">
        <v>1406</v>
      </c>
      <c r="B82" s="1" t="s">
        <v>292</v>
      </c>
      <c r="C82" s="1" t="s">
        <v>6</v>
      </c>
      <c r="D82" s="1" t="s">
        <v>11</v>
      </c>
      <c r="F82" s="1" t="str">
        <f>IFERROR(__xludf.DUMMYFUNCTION("""COMPUTED_VALUE"""),"442375")</f>
        <v>442375</v>
      </c>
      <c r="G82" s="4" t="str">
        <f t="shared" si="1"/>
        <v>09/16/2023</v>
      </c>
      <c r="H82" s="4" t="str">
        <f t="shared" si="2"/>
        <v>6/15/1985</v>
      </c>
      <c r="I82" s="4" t="str">
        <f t="shared" si="3"/>
        <v>Platinum</v>
      </c>
      <c r="J82" s="4" t="str">
        <f t="shared" si="4"/>
        <v>White</v>
      </c>
    </row>
    <row r="83" ht="14.25" customHeight="1">
      <c r="A83" s="1" t="s">
        <v>1408</v>
      </c>
      <c r="B83" s="1" t="s">
        <v>249</v>
      </c>
      <c r="C83" s="1" t="s">
        <v>7</v>
      </c>
      <c r="D83" s="1" t="s">
        <v>9</v>
      </c>
      <c r="F83" s="1" t="str">
        <f>IFERROR(__xludf.DUMMYFUNCTION("""COMPUTED_VALUE"""),"826580")</f>
        <v>826580</v>
      </c>
      <c r="G83" s="4" t="str">
        <f t="shared" si="1"/>
        <v>09/28/2023</v>
      </c>
      <c r="H83" s="4" t="str">
        <f t="shared" si="2"/>
        <v>9/6/1975</v>
      </c>
      <c r="I83" s="4" t="str">
        <f t="shared" si="3"/>
        <v>Gold</v>
      </c>
      <c r="J83" s="4" t="str">
        <f t="shared" si="4"/>
        <v>Black</v>
      </c>
    </row>
    <row r="84" ht="14.25" customHeight="1">
      <c r="A84" s="1" t="s">
        <v>1408</v>
      </c>
      <c r="B84" s="1" t="s">
        <v>249</v>
      </c>
      <c r="C84" s="1" t="s">
        <v>5</v>
      </c>
      <c r="D84" s="1" t="s">
        <v>1409</v>
      </c>
      <c r="F84" s="1" t="str">
        <f>IFERROR(__xludf.DUMMYFUNCTION("""COMPUTED_VALUE"""),"375840")</f>
        <v>375840</v>
      </c>
      <c r="G84" s="4" t="str">
        <f t="shared" si="1"/>
        <v>09/17/2023</v>
      </c>
      <c r="H84" s="4" t="str">
        <f t="shared" si="2"/>
        <v>3/8/1963</v>
      </c>
      <c r="I84" s="4" t="str">
        <f t="shared" si="3"/>
        <v>Gold</v>
      </c>
      <c r="J84" s="4" t="str">
        <f t="shared" si="4"/>
        <v>Asian</v>
      </c>
    </row>
    <row r="85" ht="14.25" customHeight="1">
      <c r="A85" s="1" t="s">
        <v>1408</v>
      </c>
      <c r="B85" s="1" t="s">
        <v>249</v>
      </c>
      <c r="C85" s="1" t="s">
        <v>6</v>
      </c>
      <c r="D85" s="1" t="s">
        <v>21</v>
      </c>
      <c r="F85" s="1" t="str">
        <f>IFERROR(__xludf.DUMMYFUNCTION("""COMPUTED_VALUE"""),"213378")</f>
        <v>213378</v>
      </c>
      <c r="G85" s="4" t="str">
        <f t="shared" si="1"/>
        <v>09/15/2023</v>
      </c>
      <c r="H85" s="4" t="str">
        <f t="shared" si="2"/>
        <v>7/3/1987</v>
      </c>
      <c r="I85" s="4" t="str">
        <f t="shared" si="3"/>
        <v>Basic</v>
      </c>
      <c r="J85" s="4" t="str">
        <f t="shared" si="4"/>
        <v>Black</v>
      </c>
    </row>
    <row r="86" ht="14.25" customHeight="1">
      <c r="A86" s="1" t="s">
        <v>1410</v>
      </c>
      <c r="B86" s="1" t="s">
        <v>249</v>
      </c>
      <c r="C86" s="1" t="s">
        <v>7</v>
      </c>
      <c r="D86" s="1" t="s">
        <v>9</v>
      </c>
      <c r="F86" s="1"/>
    </row>
    <row r="87" ht="14.25" customHeight="1">
      <c r="A87" s="1" t="s">
        <v>1410</v>
      </c>
      <c r="B87" s="1" t="s">
        <v>249</v>
      </c>
      <c r="C87" s="1" t="s">
        <v>5</v>
      </c>
      <c r="D87" s="1" t="s">
        <v>1411</v>
      </c>
    </row>
    <row r="88" ht="14.25" customHeight="1">
      <c r="A88" s="1" t="s">
        <v>1410</v>
      </c>
      <c r="B88" s="1" t="s">
        <v>249</v>
      </c>
      <c r="C88" s="1" t="s">
        <v>6</v>
      </c>
      <c r="D88" s="1" t="s">
        <v>11</v>
      </c>
    </row>
    <row r="89" ht="14.25" customHeight="1">
      <c r="A89" s="1" t="s">
        <v>1412</v>
      </c>
      <c r="B89" s="1" t="s">
        <v>211</v>
      </c>
      <c r="C89" s="1" t="s">
        <v>7</v>
      </c>
      <c r="D89" s="1" t="s">
        <v>13</v>
      </c>
    </row>
    <row r="90" ht="14.25" customHeight="1">
      <c r="A90" s="1" t="s">
        <v>1412</v>
      </c>
      <c r="B90" s="1" t="s">
        <v>211</v>
      </c>
      <c r="C90" s="1" t="s">
        <v>5</v>
      </c>
      <c r="D90" s="1" t="s">
        <v>1413</v>
      </c>
    </row>
    <row r="91" ht="14.25" customHeight="1">
      <c r="A91" s="1" t="s">
        <v>1412</v>
      </c>
      <c r="B91" s="1" t="s">
        <v>211</v>
      </c>
      <c r="C91" s="1" t="s">
        <v>6</v>
      </c>
      <c r="D91" s="1" t="s">
        <v>15</v>
      </c>
    </row>
    <row r="92" ht="14.25" customHeight="1">
      <c r="A92" s="1" t="s">
        <v>1414</v>
      </c>
      <c r="B92" s="1" t="s">
        <v>472</v>
      </c>
      <c r="C92" s="1" t="s">
        <v>7</v>
      </c>
      <c r="D92" s="1" t="s">
        <v>25</v>
      </c>
    </row>
    <row r="93" ht="14.25" customHeight="1">
      <c r="A93" s="1" t="s">
        <v>1414</v>
      </c>
      <c r="B93" s="1" t="s">
        <v>472</v>
      </c>
      <c r="C93" s="1" t="s">
        <v>5</v>
      </c>
      <c r="D93" s="1" t="s">
        <v>1415</v>
      </c>
    </row>
    <row r="94" ht="14.25" customHeight="1">
      <c r="A94" s="1" t="s">
        <v>1414</v>
      </c>
      <c r="B94" s="1" t="s">
        <v>472</v>
      </c>
      <c r="C94" s="1" t="s">
        <v>6</v>
      </c>
      <c r="D94" s="1" t="s">
        <v>21</v>
      </c>
    </row>
    <row r="95" ht="14.25" customHeight="1">
      <c r="A95" s="1" t="s">
        <v>1416</v>
      </c>
      <c r="B95" s="1" t="s">
        <v>200</v>
      </c>
      <c r="C95" s="1" t="s">
        <v>7</v>
      </c>
      <c r="D95" s="1" t="s">
        <v>13</v>
      </c>
    </row>
    <row r="96" ht="14.25" customHeight="1">
      <c r="A96" s="1" t="s">
        <v>1416</v>
      </c>
      <c r="B96" s="1" t="s">
        <v>200</v>
      </c>
      <c r="C96" s="1" t="s">
        <v>5</v>
      </c>
      <c r="D96" s="1" t="s">
        <v>1417</v>
      </c>
    </row>
    <row r="97" ht="14.25" customHeight="1">
      <c r="A97" s="1" t="s">
        <v>1416</v>
      </c>
      <c r="B97" s="1" t="s">
        <v>200</v>
      </c>
      <c r="C97" s="1" t="s">
        <v>6</v>
      </c>
      <c r="D97" s="1" t="s">
        <v>21</v>
      </c>
    </row>
    <row r="98" ht="14.25" customHeight="1">
      <c r="A98" s="1" t="s">
        <v>1418</v>
      </c>
      <c r="B98" s="1" t="s">
        <v>310</v>
      </c>
      <c r="C98" s="1" t="s">
        <v>7</v>
      </c>
      <c r="D98" s="1" t="s">
        <v>9</v>
      </c>
    </row>
    <row r="99" ht="14.25" customHeight="1">
      <c r="A99" s="1" t="s">
        <v>1418</v>
      </c>
      <c r="B99" s="1" t="s">
        <v>310</v>
      </c>
      <c r="C99" s="1" t="s">
        <v>5</v>
      </c>
      <c r="D99" s="1" t="s">
        <v>1419</v>
      </c>
    </row>
    <row r="100" ht="14.25" customHeight="1">
      <c r="A100" s="1" t="s">
        <v>1418</v>
      </c>
      <c r="B100" s="1" t="s">
        <v>310</v>
      </c>
      <c r="C100" s="1" t="s">
        <v>6</v>
      </c>
      <c r="D100" s="1" t="s">
        <v>15</v>
      </c>
    </row>
    <row r="101" ht="14.25" customHeight="1">
      <c r="A101" s="1" t="s">
        <v>1420</v>
      </c>
      <c r="B101" s="1" t="s">
        <v>381</v>
      </c>
      <c r="C101" s="1" t="s">
        <v>7</v>
      </c>
      <c r="D101" s="1" t="s">
        <v>9</v>
      </c>
    </row>
    <row r="102" ht="14.25" customHeight="1">
      <c r="A102" s="1" t="s">
        <v>1420</v>
      </c>
      <c r="B102" s="1" t="s">
        <v>381</v>
      </c>
      <c r="C102" s="1" t="s">
        <v>5</v>
      </c>
      <c r="D102" s="1" t="s">
        <v>1421</v>
      </c>
    </row>
    <row r="103" ht="14.25" customHeight="1">
      <c r="A103" s="1" t="s">
        <v>1420</v>
      </c>
      <c r="B103" s="1" t="s">
        <v>381</v>
      </c>
      <c r="C103" s="1" t="s">
        <v>6</v>
      </c>
      <c r="D103" s="1" t="s">
        <v>11</v>
      </c>
    </row>
    <row r="104" ht="14.25" customHeight="1">
      <c r="A104" s="1" t="s">
        <v>1422</v>
      </c>
      <c r="B104" s="1" t="s">
        <v>188</v>
      </c>
      <c r="C104" s="1" t="s">
        <v>7</v>
      </c>
      <c r="D104" s="1" t="s">
        <v>25</v>
      </c>
    </row>
    <row r="105" ht="14.25" customHeight="1">
      <c r="A105" s="1" t="s">
        <v>1422</v>
      </c>
      <c r="B105" s="1" t="s">
        <v>188</v>
      </c>
      <c r="C105" s="1" t="s">
        <v>5</v>
      </c>
      <c r="D105" s="1" t="s">
        <v>1423</v>
      </c>
    </row>
    <row r="106" ht="14.25" customHeight="1">
      <c r="A106" s="1" t="s">
        <v>1422</v>
      </c>
      <c r="B106" s="1" t="s">
        <v>188</v>
      </c>
      <c r="C106" s="1" t="s">
        <v>6</v>
      </c>
      <c r="D106" s="1" t="s">
        <v>15</v>
      </c>
    </row>
    <row r="107" ht="14.25" customHeight="1">
      <c r="A107" s="1" t="s">
        <v>1424</v>
      </c>
      <c r="B107" s="1" t="s">
        <v>223</v>
      </c>
      <c r="C107" s="1" t="s">
        <v>7</v>
      </c>
      <c r="D107" s="1" t="s">
        <v>13</v>
      </c>
    </row>
    <row r="108" ht="14.25" customHeight="1">
      <c r="A108" s="1" t="s">
        <v>1424</v>
      </c>
      <c r="B108" s="1" t="s">
        <v>223</v>
      </c>
      <c r="C108" s="1" t="s">
        <v>5</v>
      </c>
      <c r="D108" s="1" t="s">
        <v>1425</v>
      </c>
    </row>
    <row r="109" ht="14.25" customHeight="1">
      <c r="A109" s="1" t="s">
        <v>1424</v>
      </c>
      <c r="B109" s="1" t="s">
        <v>223</v>
      </c>
      <c r="C109" s="1" t="s">
        <v>6</v>
      </c>
      <c r="D109" s="1" t="s">
        <v>11</v>
      </c>
    </row>
    <row r="110" ht="14.25" customHeight="1">
      <c r="A110" s="1" t="s">
        <v>1426</v>
      </c>
      <c r="B110" s="1" t="s">
        <v>239</v>
      </c>
      <c r="C110" s="1" t="s">
        <v>7</v>
      </c>
      <c r="D110" s="1" t="s">
        <v>13</v>
      </c>
    </row>
    <row r="111" ht="14.25" customHeight="1">
      <c r="A111" s="1" t="s">
        <v>1426</v>
      </c>
      <c r="B111" s="1" t="s">
        <v>239</v>
      </c>
      <c r="C111" s="1" t="s">
        <v>5</v>
      </c>
      <c r="D111" s="1" t="s">
        <v>1427</v>
      </c>
    </row>
    <row r="112" ht="14.25" customHeight="1">
      <c r="A112" s="1" t="s">
        <v>1426</v>
      </c>
      <c r="B112" s="1" t="s">
        <v>239</v>
      </c>
      <c r="C112" s="1" t="s">
        <v>6</v>
      </c>
      <c r="D112" s="1" t="s">
        <v>11</v>
      </c>
    </row>
    <row r="113" ht="14.25" customHeight="1">
      <c r="A113" s="1" t="s">
        <v>1428</v>
      </c>
      <c r="B113" s="1" t="s">
        <v>246</v>
      </c>
      <c r="C113" s="1" t="s">
        <v>7</v>
      </c>
      <c r="D113" s="1" t="s">
        <v>25</v>
      </c>
    </row>
    <row r="114" ht="14.25" customHeight="1">
      <c r="A114" s="1" t="s">
        <v>1428</v>
      </c>
      <c r="B114" s="1" t="s">
        <v>246</v>
      </c>
      <c r="C114" s="1" t="s">
        <v>5</v>
      </c>
      <c r="D114" s="1" t="s">
        <v>1429</v>
      </c>
    </row>
    <row r="115" ht="14.25" customHeight="1">
      <c r="A115" s="1" t="s">
        <v>1428</v>
      </c>
      <c r="B115" s="1" t="s">
        <v>246</v>
      </c>
      <c r="C115" s="1" t="s">
        <v>6</v>
      </c>
      <c r="D115" s="1" t="s">
        <v>11</v>
      </c>
    </row>
    <row r="116" ht="14.25" customHeight="1">
      <c r="A116" s="1" t="s">
        <v>1430</v>
      </c>
      <c r="B116" s="1" t="s">
        <v>197</v>
      </c>
      <c r="C116" s="1" t="s">
        <v>7</v>
      </c>
      <c r="D116" s="1" t="s">
        <v>25</v>
      </c>
    </row>
    <row r="117" ht="14.25" customHeight="1">
      <c r="A117" s="1" t="s">
        <v>1430</v>
      </c>
      <c r="B117" s="1" t="s">
        <v>197</v>
      </c>
      <c r="C117" s="1" t="s">
        <v>5</v>
      </c>
      <c r="D117" s="1" t="s">
        <v>1431</v>
      </c>
    </row>
    <row r="118" ht="14.25" customHeight="1">
      <c r="A118" s="1" t="s">
        <v>1430</v>
      </c>
      <c r="B118" s="1" t="s">
        <v>197</v>
      </c>
      <c r="C118" s="1" t="s">
        <v>6</v>
      </c>
      <c r="D118" s="1" t="s">
        <v>15</v>
      </c>
    </row>
    <row r="119" ht="14.25" customHeight="1">
      <c r="A119" s="1" t="s">
        <v>1432</v>
      </c>
      <c r="B119" s="1" t="s">
        <v>182</v>
      </c>
      <c r="C119" s="1" t="s">
        <v>7</v>
      </c>
      <c r="D119" s="1" t="s">
        <v>13</v>
      </c>
    </row>
    <row r="120" ht="14.25" customHeight="1">
      <c r="A120" s="1" t="s">
        <v>1432</v>
      </c>
      <c r="B120" s="1" t="s">
        <v>182</v>
      </c>
      <c r="C120" s="1" t="s">
        <v>5</v>
      </c>
      <c r="D120" s="1" t="s">
        <v>1433</v>
      </c>
    </row>
    <row r="121" ht="14.25" customHeight="1">
      <c r="A121" s="1" t="s">
        <v>1432</v>
      </c>
      <c r="B121" s="1" t="s">
        <v>182</v>
      </c>
      <c r="C121" s="1" t="s">
        <v>6</v>
      </c>
      <c r="D121" s="1" t="s">
        <v>11</v>
      </c>
    </row>
    <row r="122" ht="14.25" customHeight="1">
      <c r="A122" s="1" t="s">
        <v>1434</v>
      </c>
      <c r="B122" s="1" t="s">
        <v>378</v>
      </c>
      <c r="C122" s="1" t="s">
        <v>7</v>
      </c>
      <c r="D122" s="1" t="s">
        <v>19</v>
      </c>
    </row>
    <row r="123" ht="14.25" customHeight="1">
      <c r="A123" s="1" t="s">
        <v>1434</v>
      </c>
      <c r="B123" s="1" t="s">
        <v>378</v>
      </c>
      <c r="C123" s="1" t="s">
        <v>5</v>
      </c>
      <c r="D123" s="1" t="s">
        <v>1435</v>
      </c>
    </row>
    <row r="124" ht="14.25" customHeight="1">
      <c r="A124" s="1" t="s">
        <v>1434</v>
      </c>
      <c r="B124" s="1" t="s">
        <v>378</v>
      </c>
      <c r="C124" s="1" t="s">
        <v>6</v>
      </c>
      <c r="D124" s="1" t="s">
        <v>21</v>
      </c>
    </row>
    <row r="125" ht="14.25" customHeight="1">
      <c r="A125" s="1" t="s">
        <v>1436</v>
      </c>
      <c r="B125" s="1" t="s">
        <v>223</v>
      </c>
      <c r="C125" s="1" t="s">
        <v>7</v>
      </c>
      <c r="D125" s="1" t="s">
        <v>13</v>
      </c>
    </row>
    <row r="126" ht="14.25" customHeight="1">
      <c r="A126" s="1" t="s">
        <v>1436</v>
      </c>
      <c r="B126" s="1" t="s">
        <v>223</v>
      </c>
      <c r="C126" s="1" t="s">
        <v>5</v>
      </c>
      <c r="D126" s="1" t="s">
        <v>1437</v>
      </c>
    </row>
    <row r="127" ht="14.25" customHeight="1">
      <c r="A127" s="1" t="s">
        <v>1436</v>
      </c>
      <c r="B127" s="1" t="s">
        <v>223</v>
      </c>
      <c r="C127" s="1" t="s">
        <v>6</v>
      </c>
      <c r="D127" s="1" t="s">
        <v>11</v>
      </c>
    </row>
    <row r="128" ht="14.25" customHeight="1">
      <c r="A128" s="1" t="s">
        <v>1438</v>
      </c>
      <c r="B128" s="1" t="s">
        <v>273</v>
      </c>
      <c r="C128" s="1" t="s">
        <v>7</v>
      </c>
      <c r="D128" s="1" t="s">
        <v>13</v>
      </c>
    </row>
    <row r="129" ht="14.25" customHeight="1">
      <c r="A129" s="1" t="s">
        <v>1438</v>
      </c>
      <c r="B129" s="1" t="s">
        <v>273</v>
      </c>
      <c r="C129" s="1" t="s">
        <v>5</v>
      </c>
      <c r="D129" s="1" t="s">
        <v>1439</v>
      </c>
    </row>
    <row r="130" ht="14.25" customHeight="1">
      <c r="A130" s="1" t="s">
        <v>1438</v>
      </c>
      <c r="B130" s="1" t="s">
        <v>273</v>
      </c>
      <c r="C130" s="1" t="s">
        <v>6</v>
      </c>
      <c r="D130" s="1" t="s">
        <v>11</v>
      </c>
    </row>
    <row r="131" ht="14.25" customHeight="1">
      <c r="A131" s="1" t="s">
        <v>1440</v>
      </c>
      <c r="B131" s="1" t="s">
        <v>324</v>
      </c>
      <c r="C131" s="1" t="s">
        <v>7</v>
      </c>
      <c r="D131" s="1" t="s">
        <v>9</v>
      </c>
    </row>
    <row r="132" ht="14.25" customHeight="1">
      <c r="A132" s="1" t="s">
        <v>1440</v>
      </c>
      <c r="B132" s="1" t="s">
        <v>324</v>
      </c>
      <c r="C132" s="1" t="s">
        <v>5</v>
      </c>
      <c r="D132" s="1" t="s">
        <v>1441</v>
      </c>
    </row>
    <row r="133" ht="14.25" customHeight="1">
      <c r="A133" s="1" t="s">
        <v>1440</v>
      </c>
      <c r="B133" s="1" t="s">
        <v>324</v>
      </c>
      <c r="C133" s="1" t="s">
        <v>6</v>
      </c>
      <c r="D133" s="1" t="s">
        <v>11</v>
      </c>
    </row>
    <row r="134" ht="14.25" customHeight="1">
      <c r="A134" s="1" t="s">
        <v>1442</v>
      </c>
      <c r="B134" s="1" t="s">
        <v>230</v>
      </c>
      <c r="C134" s="1" t="s">
        <v>7</v>
      </c>
      <c r="D134" s="1" t="s">
        <v>19</v>
      </c>
    </row>
    <row r="135" ht="14.25" customHeight="1">
      <c r="A135" s="1" t="s">
        <v>1442</v>
      </c>
      <c r="B135" s="1" t="s">
        <v>230</v>
      </c>
      <c r="C135" s="1" t="s">
        <v>5</v>
      </c>
      <c r="D135" s="1" t="s">
        <v>1443</v>
      </c>
    </row>
    <row r="136" ht="14.25" customHeight="1">
      <c r="A136" s="1" t="s">
        <v>1442</v>
      </c>
      <c r="B136" s="1" t="s">
        <v>230</v>
      </c>
      <c r="C136" s="1" t="s">
        <v>6</v>
      </c>
      <c r="D136" s="1" t="s">
        <v>15</v>
      </c>
    </row>
    <row r="137" ht="14.25" customHeight="1">
      <c r="A137" s="1" t="s">
        <v>1444</v>
      </c>
      <c r="B137" s="1" t="s">
        <v>378</v>
      </c>
      <c r="C137" s="1" t="s">
        <v>7</v>
      </c>
      <c r="D137" s="1" t="s">
        <v>9</v>
      </c>
    </row>
    <row r="138" ht="14.25" customHeight="1">
      <c r="A138" s="1" t="s">
        <v>1444</v>
      </c>
      <c r="B138" s="1" t="s">
        <v>378</v>
      </c>
      <c r="C138" s="1" t="s">
        <v>5</v>
      </c>
      <c r="D138" s="1" t="s">
        <v>1445</v>
      </c>
    </row>
    <row r="139" ht="14.25" customHeight="1">
      <c r="A139" s="1" t="s">
        <v>1444</v>
      </c>
      <c r="B139" s="1" t="s">
        <v>378</v>
      </c>
      <c r="C139" s="1" t="s">
        <v>6</v>
      </c>
      <c r="D139" s="1" t="s">
        <v>15</v>
      </c>
    </row>
    <row r="140" ht="14.25" customHeight="1">
      <c r="A140" s="1" t="s">
        <v>1446</v>
      </c>
      <c r="B140" s="1" t="s">
        <v>249</v>
      </c>
      <c r="C140" s="1" t="s">
        <v>7</v>
      </c>
      <c r="D140" s="1" t="s">
        <v>13</v>
      </c>
    </row>
    <row r="141" ht="14.25" customHeight="1">
      <c r="A141" s="1" t="s">
        <v>1446</v>
      </c>
      <c r="B141" s="1" t="s">
        <v>249</v>
      </c>
      <c r="C141" s="1" t="s">
        <v>5</v>
      </c>
      <c r="D141" s="1" t="s">
        <v>1447</v>
      </c>
    </row>
    <row r="142" ht="14.25" customHeight="1">
      <c r="A142" s="1" t="s">
        <v>1446</v>
      </c>
      <c r="B142" s="1" t="s">
        <v>249</v>
      </c>
      <c r="C142" s="1" t="s">
        <v>6</v>
      </c>
      <c r="D142" s="1" t="s">
        <v>11</v>
      </c>
    </row>
    <row r="143" ht="14.25" customHeight="1">
      <c r="A143" s="1" t="s">
        <v>1448</v>
      </c>
      <c r="B143" s="1" t="s">
        <v>191</v>
      </c>
      <c r="C143" s="1" t="s">
        <v>7</v>
      </c>
      <c r="D143" s="1" t="s">
        <v>13</v>
      </c>
    </row>
    <row r="144" ht="14.25" customHeight="1">
      <c r="A144" s="1" t="s">
        <v>1448</v>
      </c>
      <c r="B144" s="1" t="s">
        <v>191</v>
      </c>
      <c r="C144" s="1" t="s">
        <v>5</v>
      </c>
      <c r="D144" s="1" t="s">
        <v>1449</v>
      </c>
    </row>
    <row r="145" ht="14.25" customHeight="1">
      <c r="A145" s="1" t="s">
        <v>1448</v>
      </c>
      <c r="B145" s="1" t="s">
        <v>191</v>
      </c>
      <c r="C145" s="1" t="s">
        <v>6</v>
      </c>
      <c r="D145" s="1" t="s">
        <v>21</v>
      </c>
    </row>
    <row r="146" ht="14.25" customHeight="1">
      <c r="A146" s="1" t="s">
        <v>1450</v>
      </c>
      <c r="B146" s="1" t="s">
        <v>197</v>
      </c>
      <c r="C146" s="1" t="s">
        <v>7</v>
      </c>
      <c r="D146" s="1" t="s">
        <v>19</v>
      </c>
    </row>
    <row r="147" ht="14.25" customHeight="1">
      <c r="A147" s="1" t="s">
        <v>1450</v>
      </c>
      <c r="B147" s="1" t="s">
        <v>197</v>
      </c>
      <c r="C147" s="1" t="s">
        <v>5</v>
      </c>
      <c r="D147" s="1" t="s">
        <v>1451</v>
      </c>
    </row>
    <row r="148" ht="14.25" customHeight="1">
      <c r="A148" s="1" t="s">
        <v>1450</v>
      </c>
      <c r="B148" s="1" t="s">
        <v>197</v>
      </c>
      <c r="C148" s="1" t="s">
        <v>6</v>
      </c>
      <c r="D148" s="1" t="s">
        <v>11</v>
      </c>
    </row>
    <row r="149" ht="14.25" customHeight="1">
      <c r="A149" s="1" t="s">
        <v>1452</v>
      </c>
      <c r="B149" s="1" t="s">
        <v>472</v>
      </c>
      <c r="C149" s="1" t="s">
        <v>7</v>
      </c>
      <c r="D149" s="1" t="s">
        <v>13</v>
      </c>
    </row>
    <row r="150" ht="14.25" customHeight="1">
      <c r="A150" s="1" t="s">
        <v>1452</v>
      </c>
      <c r="B150" s="1" t="s">
        <v>472</v>
      </c>
      <c r="C150" s="1" t="s">
        <v>5</v>
      </c>
      <c r="D150" s="1" t="s">
        <v>1453</v>
      </c>
    </row>
    <row r="151" ht="14.25" customHeight="1">
      <c r="A151" s="1" t="s">
        <v>1452</v>
      </c>
      <c r="B151" s="1" t="s">
        <v>472</v>
      </c>
      <c r="C151" s="1" t="s">
        <v>6</v>
      </c>
      <c r="D151" s="1" t="s">
        <v>15</v>
      </c>
    </row>
    <row r="152" ht="14.25" customHeight="1">
      <c r="A152" s="1" t="s">
        <v>1454</v>
      </c>
      <c r="B152" s="1" t="s">
        <v>398</v>
      </c>
      <c r="C152" s="1" t="s">
        <v>7</v>
      </c>
      <c r="D152" s="1" t="s">
        <v>9</v>
      </c>
    </row>
    <row r="153" ht="14.25" customHeight="1">
      <c r="A153" s="1" t="s">
        <v>1454</v>
      </c>
      <c r="B153" s="1" t="s">
        <v>398</v>
      </c>
      <c r="C153" s="1" t="s">
        <v>5</v>
      </c>
      <c r="D153" s="1" t="s">
        <v>1455</v>
      </c>
    </row>
    <row r="154" ht="14.25" customHeight="1">
      <c r="A154" s="1" t="s">
        <v>1454</v>
      </c>
      <c r="B154" s="1" t="s">
        <v>398</v>
      </c>
      <c r="C154" s="1" t="s">
        <v>6</v>
      </c>
      <c r="D154" s="1" t="s">
        <v>15</v>
      </c>
    </row>
    <row r="155" ht="14.25" customHeight="1">
      <c r="A155" s="1" t="s">
        <v>1456</v>
      </c>
      <c r="B155" s="1" t="s">
        <v>381</v>
      </c>
      <c r="C155" s="1" t="s">
        <v>7</v>
      </c>
      <c r="D155" s="1" t="s">
        <v>25</v>
      </c>
    </row>
    <row r="156" ht="14.25" customHeight="1">
      <c r="A156" s="1" t="s">
        <v>1456</v>
      </c>
      <c r="B156" s="1" t="s">
        <v>381</v>
      </c>
      <c r="C156" s="1" t="s">
        <v>5</v>
      </c>
      <c r="D156" s="1" t="s">
        <v>1457</v>
      </c>
    </row>
    <row r="157" ht="14.25" customHeight="1">
      <c r="A157" s="1" t="s">
        <v>1456</v>
      </c>
      <c r="B157" s="1" t="s">
        <v>381</v>
      </c>
      <c r="C157" s="1" t="s">
        <v>6</v>
      </c>
      <c r="D157" s="1" t="s">
        <v>21</v>
      </c>
    </row>
    <row r="158" ht="14.25" customHeight="1">
      <c r="A158" s="1" t="s">
        <v>1458</v>
      </c>
      <c r="B158" s="1" t="s">
        <v>317</v>
      </c>
      <c r="C158" s="1" t="s">
        <v>7</v>
      </c>
      <c r="D158" s="1" t="s">
        <v>9</v>
      </c>
    </row>
    <row r="159" ht="14.25" customHeight="1">
      <c r="A159" s="1" t="s">
        <v>1458</v>
      </c>
      <c r="B159" s="1" t="s">
        <v>317</v>
      </c>
      <c r="C159" s="1" t="s">
        <v>5</v>
      </c>
      <c r="D159" s="1" t="s">
        <v>1459</v>
      </c>
    </row>
    <row r="160" ht="14.25" customHeight="1">
      <c r="A160" s="1" t="s">
        <v>1458</v>
      </c>
      <c r="B160" s="1" t="s">
        <v>317</v>
      </c>
      <c r="C160" s="1" t="s">
        <v>6</v>
      </c>
      <c r="D160" s="1" t="s">
        <v>11</v>
      </c>
    </row>
    <row r="161" ht="14.25" customHeight="1">
      <c r="A161" s="1" t="s">
        <v>1460</v>
      </c>
      <c r="B161" s="1" t="s">
        <v>214</v>
      </c>
      <c r="C161" s="1" t="s">
        <v>7</v>
      </c>
      <c r="D161" s="1" t="s">
        <v>19</v>
      </c>
    </row>
    <row r="162" ht="14.25" customHeight="1">
      <c r="A162" s="1" t="s">
        <v>1460</v>
      </c>
      <c r="B162" s="1" t="s">
        <v>214</v>
      </c>
      <c r="C162" s="1" t="s">
        <v>5</v>
      </c>
      <c r="D162" s="1" t="s">
        <v>1461</v>
      </c>
    </row>
    <row r="163" ht="14.25" customHeight="1">
      <c r="A163" s="1" t="s">
        <v>1460</v>
      </c>
      <c r="B163" s="1" t="s">
        <v>214</v>
      </c>
      <c r="C163" s="1" t="s">
        <v>6</v>
      </c>
      <c r="D163" s="1" t="s">
        <v>15</v>
      </c>
    </row>
    <row r="164" ht="14.25" customHeight="1">
      <c r="A164" s="1" t="s">
        <v>1462</v>
      </c>
      <c r="B164" s="1" t="s">
        <v>211</v>
      </c>
      <c r="C164" s="1" t="s">
        <v>7</v>
      </c>
      <c r="D164" s="1" t="s">
        <v>9</v>
      </c>
    </row>
    <row r="165" ht="14.25" customHeight="1">
      <c r="A165" s="1" t="s">
        <v>1462</v>
      </c>
      <c r="B165" s="1" t="s">
        <v>211</v>
      </c>
      <c r="C165" s="1" t="s">
        <v>5</v>
      </c>
      <c r="D165" s="1" t="s">
        <v>1463</v>
      </c>
    </row>
    <row r="166" ht="14.25" customHeight="1">
      <c r="A166" s="1" t="s">
        <v>1462</v>
      </c>
      <c r="B166" s="1" t="s">
        <v>211</v>
      </c>
      <c r="C166" s="1" t="s">
        <v>6</v>
      </c>
      <c r="D166" s="1" t="s">
        <v>21</v>
      </c>
    </row>
    <row r="167" ht="14.25" customHeight="1">
      <c r="A167" s="1" t="s">
        <v>1464</v>
      </c>
      <c r="B167" s="1" t="s">
        <v>185</v>
      </c>
      <c r="C167" s="1" t="s">
        <v>7</v>
      </c>
      <c r="D167" s="1" t="s">
        <v>19</v>
      </c>
    </row>
    <row r="168" ht="14.25" customHeight="1">
      <c r="A168" s="1" t="s">
        <v>1464</v>
      </c>
      <c r="B168" s="1" t="s">
        <v>185</v>
      </c>
      <c r="C168" s="1" t="s">
        <v>5</v>
      </c>
      <c r="D168" s="1" t="s">
        <v>1007</v>
      </c>
    </row>
    <row r="169" ht="14.25" customHeight="1">
      <c r="A169" s="1" t="s">
        <v>1464</v>
      </c>
      <c r="B169" s="1" t="s">
        <v>185</v>
      </c>
      <c r="C169" s="1" t="s">
        <v>6</v>
      </c>
      <c r="D169" s="1" t="s">
        <v>15</v>
      </c>
    </row>
    <row r="170" ht="14.25" customHeight="1">
      <c r="A170" s="1" t="s">
        <v>1465</v>
      </c>
      <c r="B170" s="1" t="s">
        <v>233</v>
      </c>
      <c r="C170" s="1" t="s">
        <v>7</v>
      </c>
      <c r="D170" s="1" t="s">
        <v>25</v>
      </c>
    </row>
    <row r="171" ht="14.25" customHeight="1">
      <c r="A171" s="1" t="s">
        <v>1465</v>
      </c>
      <c r="B171" s="1" t="s">
        <v>233</v>
      </c>
      <c r="C171" s="1" t="s">
        <v>5</v>
      </c>
      <c r="D171" s="1" t="s">
        <v>1466</v>
      </c>
    </row>
    <row r="172" ht="14.25" customHeight="1">
      <c r="A172" s="1" t="s">
        <v>1465</v>
      </c>
      <c r="B172" s="1" t="s">
        <v>233</v>
      </c>
      <c r="C172" s="1" t="s">
        <v>6</v>
      </c>
      <c r="D172" s="1" t="s">
        <v>15</v>
      </c>
    </row>
    <row r="173" ht="14.25" customHeight="1">
      <c r="A173" s="1" t="s">
        <v>1467</v>
      </c>
      <c r="B173" s="1" t="s">
        <v>211</v>
      </c>
      <c r="C173" s="1" t="s">
        <v>7</v>
      </c>
      <c r="D173" s="1" t="s">
        <v>9</v>
      </c>
    </row>
    <row r="174" ht="14.25" customHeight="1">
      <c r="A174" s="1" t="s">
        <v>1467</v>
      </c>
      <c r="B174" s="1" t="s">
        <v>211</v>
      </c>
      <c r="C174" s="1" t="s">
        <v>5</v>
      </c>
      <c r="D174" s="1" t="s">
        <v>1468</v>
      </c>
    </row>
    <row r="175" ht="14.25" customHeight="1">
      <c r="A175" s="1" t="s">
        <v>1467</v>
      </c>
      <c r="B175" s="1" t="s">
        <v>211</v>
      </c>
      <c r="C175" s="1" t="s">
        <v>6</v>
      </c>
      <c r="D175" s="1" t="s">
        <v>11</v>
      </c>
    </row>
    <row r="176" ht="14.25" customHeight="1">
      <c r="A176" s="1" t="s">
        <v>1469</v>
      </c>
      <c r="B176" s="1" t="s">
        <v>324</v>
      </c>
      <c r="C176" s="1" t="s">
        <v>7</v>
      </c>
      <c r="D176" s="1" t="s">
        <v>9</v>
      </c>
    </row>
    <row r="177" ht="14.25" customHeight="1">
      <c r="A177" s="1" t="s">
        <v>1469</v>
      </c>
      <c r="B177" s="1" t="s">
        <v>324</v>
      </c>
      <c r="C177" s="1" t="s">
        <v>5</v>
      </c>
      <c r="D177" s="1" t="s">
        <v>1470</v>
      </c>
    </row>
    <row r="178" ht="14.25" customHeight="1">
      <c r="A178" s="1" t="s">
        <v>1469</v>
      </c>
      <c r="B178" s="1" t="s">
        <v>324</v>
      </c>
      <c r="C178" s="1" t="s">
        <v>6</v>
      </c>
      <c r="D178" s="1" t="s">
        <v>11</v>
      </c>
    </row>
    <row r="179" ht="14.25" customHeight="1">
      <c r="A179" s="1" t="s">
        <v>1471</v>
      </c>
      <c r="B179" s="1" t="s">
        <v>191</v>
      </c>
      <c r="C179" s="1" t="s">
        <v>7</v>
      </c>
      <c r="D179" s="1" t="s">
        <v>25</v>
      </c>
    </row>
    <row r="180" ht="14.25" customHeight="1">
      <c r="A180" s="1" t="s">
        <v>1471</v>
      </c>
      <c r="B180" s="1" t="s">
        <v>191</v>
      </c>
      <c r="C180" s="1" t="s">
        <v>5</v>
      </c>
      <c r="D180" s="1" t="s">
        <v>1472</v>
      </c>
    </row>
    <row r="181" ht="14.25" customHeight="1">
      <c r="A181" s="1" t="s">
        <v>1471</v>
      </c>
      <c r="B181" s="1" t="s">
        <v>191</v>
      </c>
      <c r="C181" s="1" t="s">
        <v>6</v>
      </c>
      <c r="D181" s="1" t="s">
        <v>15</v>
      </c>
    </row>
    <row r="182" ht="14.25" customHeight="1">
      <c r="A182" s="1" t="s">
        <v>1473</v>
      </c>
      <c r="B182" s="1" t="s">
        <v>472</v>
      </c>
      <c r="C182" s="1" t="s">
        <v>7</v>
      </c>
      <c r="D182" s="1" t="s">
        <v>13</v>
      </c>
    </row>
    <row r="183" ht="14.25" customHeight="1">
      <c r="A183" s="1" t="s">
        <v>1473</v>
      </c>
      <c r="B183" s="1" t="s">
        <v>472</v>
      </c>
      <c r="C183" s="1" t="s">
        <v>5</v>
      </c>
      <c r="D183" s="1" t="s">
        <v>1474</v>
      </c>
    </row>
    <row r="184" ht="14.25" customHeight="1">
      <c r="A184" s="1" t="s">
        <v>1473</v>
      </c>
      <c r="B184" s="1" t="s">
        <v>472</v>
      </c>
      <c r="C184" s="1" t="s">
        <v>6</v>
      </c>
      <c r="D184" s="1" t="s">
        <v>21</v>
      </c>
    </row>
    <row r="185" ht="14.25" customHeight="1">
      <c r="A185" s="1" t="s">
        <v>1475</v>
      </c>
      <c r="B185" s="1" t="s">
        <v>236</v>
      </c>
      <c r="C185" s="1" t="s">
        <v>7</v>
      </c>
      <c r="D185" s="1" t="s">
        <v>25</v>
      </c>
    </row>
    <row r="186" ht="14.25" customHeight="1">
      <c r="A186" s="1" t="s">
        <v>1475</v>
      </c>
      <c r="B186" s="1" t="s">
        <v>236</v>
      </c>
      <c r="C186" s="1" t="s">
        <v>5</v>
      </c>
      <c r="D186" s="1" t="s">
        <v>1476</v>
      </c>
    </row>
    <row r="187" ht="14.25" customHeight="1">
      <c r="A187" s="1" t="s">
        <v>1475</v>
      </c>
      <c r="B187" s="1" t="s">
        <v>236</v>
      </c>
      <c r="C187" s="1" t="s">
        <v>6</v>
      </c>
      <c r="D187" s="1" t="s">
        <v>21</v>
      </c>
    </row>
    <row r="188" ht="14.25" customHeight="1">
      <c r="A188" s="1" t="s">
        <v>1477</v>
      </c>
      <c r="B188" s="1" t="s">
        <v>194</v>
      </c>
      <c r="C188" s="1" t="s">
        <v>7</v>
      </c>
      <c r="D188" s="1" t="s">
        <v>9</v>
      </c>
    </row>
    <row r="189" ht="14.25" customHeight="1">
      <c r="A189" s="1" t="s">
        <v>1477</v>
      </c>
      <c r="B189" s="1" t="s">
        <v>194</v>
      </c>
      <c r="C189" s="1" t="s">
        <v>5</v>
      </c>
      <c r="D189" s="1" t="s">
        <v>1478</v>
      </c>
    </row>
    <row r="190" ht="14.25" customHeight="1">
      <c r="A190" s="1" t="s">
        <v>1477</v>
      </c>
      <c r="B190" s="1" t="s">
        <v>194</v>
      </c>
      <c r="C190" s="1" t="s">
        <v>6</v>
      </c>
      <c r="D190" s="1" t="s">
        <v>11</v>
      </c>
    </row>
    <row r="191" ht="14.25" customHeight="1">
      <c r="A191" s="1" t="s">
        <v>1479</v>
      </c>
      <c r="B191" s="1" t="s">
        <v>185</v>
      </c>
      <c r="C191" s="1" t="s">
        <v>7</v>
      </c>
      <c r="D191" s="1" t="s">
        <v>9</v>
      </c>
    </row>
    <row r="192" ht="14.25" customHeight="1">
      <c r="A192" s="1" t="s">
        <v>1479</v>
      </c>
      <c r="B192" s="1" t="s">
        <v>185</v>
      </c>
      <c r="C192" s="1" t="s">
        <v>5</v>
      </c>
      <c r="D192" s="1" t="s">
        <v>1480</v>
      </c>
    </row>
    <row r="193" ht="14.25" customHeight="1">
      <c r="A193" s="1" t="s">
        <v>1479</v>
      </c>
      <c r="B193" s="1" t="s">
        <v>185</v>
      </c>
      <c r="C193" s="1" t="s">
        <v>6</v>
      </c>
      <c r="D193" s="1" t="s">
        <v>11</v>
      </c>
    </row>
    <row r="194" ht="14.25" customHeight="1">
      <c r="A194" s="1" t="s">
        <v>1481</v>
      </c>
      <c r="B194" s="1" t="s">
        <v>381</v>
      </c>
      <c r="C194" s="1" t="s">
        <v>7</v>
      </c>
      <c r="D194" s="1" t="s">
        <v>9</v>
      </c>
    </row>
    <row r="195" ht="14.25" customHeight="1">
      <c r="A195" s="1" t="s">
        <v>1481</v>
      </c>
      <c r="B195" s="1" t="s">
        <v>381</v>
      </c>
      <c r="C195" s="1" t="s">
        <v>5</v>
      </c>
      <c r="D195" s="1" t="s">
        <v>1482</v>
      </c>
    </row>
    <row r="196" ht="14.25" customHeight="1">
      <c r="A196" s="1" t="s">
        <v>1481</v>
      </c>
      <c r="B196" s="1" t="s">
        <v>381</v>
      </c>
      <c r="C196" s="1" t="s">
        <v>6</v>
      </c>
      <c r="D196" s="1" t="s">
        <v>11</v>
      </c>
    </row>
    <row r="197" ht="14.25" customHeight="1">
      <c r="A197" s="1" t="s">
        <v>1483</v>
      </c>
      <c r="B197" s="1" t="s">
        <v>185</v>
      </c>
      <c r="C197" s="1" t="s">
        <v>7</v>
      </c>
      <c r="D197" s="1" t="s">
        <v>13</v>
      </c>
    </row>
    <row r="198" ht="14.25" customHeight="1">
      <c r="A198" s="1" t="s">
        <v>1483</v>
      </c>
      <c r="B198" s="1" t="s">
        <v>185</v>
      </c>
      <c r="C198" s="1" t="s">
        <v>5</v>
      </c>
      <c r="D198" s="1" t="s">
        <v>1484</v>
      </c>
    </row>
    <row r="199" ht="14.25" customHeight="1">
      <c r="A199" s="1" t="s">
        <v>1483</v>
      </c>
      <c r="B199" s="1" t="s">
        <v>185</v>
      </c>
      <c r="C199" s="1" t="s">
        <v>6</v>
      </c>
      <c r="D199" s="1" t="s">
        <v>11</v>
      </c>
    </row>
    <row r="200" ht="14.25" customHeight="1">
      <c r="A200" s="1" t="s">
        <v>1485</v>
      </c>
      <c r="B200" s="1" t="s">
        <v>208</v>
      </c>
      <c r="C200" s="1" t="s">
        <v>7</v>
      </c>
      <c r="D200" s="1" t="s">
        <v>13</v>
      </c>
    </row>
    <row r="201" ht="14.25" customHeight="1">
      <c r="A201" s="1" t="s">
        <v>1485</v>
      </c>
      <c r="B201" s="1" t="s">
        <v>208</v>
      </c>
      <c r="C201" s="1" t="s">
        <v>5</v>
      </c>
      <c r="D201" s="1" t="s">
        <v>1486</v>
      </c>
    </row>
    <row r="202" ht="14.25" customHeight="1">
      <c r="A202" s="1" t="s">
        <v>1485</v>
      </c>
      <c r="B202" s="1" t="s">
        <v>208</v>
      </c>
      <c r="C202" s="1" t="s">
        <v>6</v>
      </c>
      <c r="D202" s="1" t="s">
        <v>15</v>
      </c>
    </row>
    <row r="203" ht="14.25" customHeight="1">
      <c r="A203" s="1" t="s">
        <v>1487</v>
      </c>
      <c r="B203" s="1" t="s">
        <v>223</v>
      </c>
      <c r="C203" s="1" t="s">
        <v>7</v>
      </c>
      <c r="D203" s="1" t="s">
        <v>25</v>
      </c>
    </row>
    <row r="204" ht="14.25" customHeight="1">
      <c r="A204" s="1" t="s">
        <v>1487</v>
      </c>
      <c r="B204" s="1" t="s">
        <v>223</v>
      </c>
      <c r="C204" s="1" t="s">
        <v>5</v>
      </c>
      <c r="D204" s="1" t="s">
        <v>1488</v>
      </c>
    </row>
    <row r="205" ht="14.25" customHeight="1">
      <c r="A205" s="1" t="s">
        <v>1487</v>
      </c>
      <c r="B205" s="1" t="s">
        <v>223</v>
      </c>
      <c r="C205" s="1" t="s">
        <v>6</v>
      </c>
      <c r="D205" s="1" t="s">
        <v>15</v>
      </c>
    </row>
    <row r="206" ht="14.25" customHeight="1">
      <c r="A206" s="1" t="s">
        <v>1489</v>
      </c>
      <c r="B206" s="1" t="s">
        <v>223</v>
      </c>
      <c r="C206" s="1" t="s">
        <v>7</v>
      </c>
      <c r="D206" s="1" t="s">
        <v>9</v>
      </c>
    </row>
    <row r="207" ht="14.25" customHeight="1">
      <c r="A207" s="1" t="s">
        <v>1489</v>
      </c>
      <c r="B207" s="1" t="s">
        <v>223</v>
      </c>
      <c r="C207" s="1" t="s">
        <v>5</v>
      </c>
      <c r="D207" s="1" t="s">
        <v>1490</v>
      </c>
    </row>
    <row r="208" ht="14.25" customHeight="1">
      <c r="A208" s="1" t="s">
        <v>1489</v>
      </c>
      <c r="B208" s="1" t="s">
        <v>223</v>
      </c>
      <c r="C208" s="1" t="s">
        <v>6</v>
      </c>
      <c r="D208" s="1" t="s">
        <v>15</v>
      </c>
    </row>
    <row r="209" ht="14.25" customHeight="1">
      <c r="A209" s="1" t="s">
        <v>1491</v>
      </c>
      <c r="B209" s="1" t="s">
        <v>398</v>
      </c>
      <c r="C209" s="1" t="s">
        <v>7</v>
      </c>
      <c r="D209" s="1" t="s">
        <v>25</v>
      </c>
    </row>
    <row r="210" ht="14.25" customHeight="1">
      <c r="A210" s="1" t="s">
        <v>1491</v>
      </c>
      <c r="B210" s="1" t="s">
        <v>398</v>
      </c>
      <c r="C210" s="1" t="s">
        <v>5</v>
      </c>
      <c r="D210" s="1" t="s">
        <v>1492</v>
      </c>
    </row>
    <row r="211" ht="14.25" customHeight="1">
      <c r="A211" s="1" t="s">
        <v>1491</v>
      </c>
      <c r="B211" s="1" t="s">
        <v>398</v>
      </c>
      <c r="C211" s="1" t="s">
        <v>6</v>
      </c>
      <c r="D211" s="1" t="s">
        <v>21</v>
      </c>
    </row>
    <row r="212" ht="14.25" customHeight="1">
      <c r="A212" s="1" t="s">
        <v>1493</v>
      </c>
      <c r="B212" s="1" t="s">
        <v>182</v>
      </c>
      <c r="C212" s="1" t="s">
        <v>7</v>
      </c>
      <c r="D212" s="1" t="s">
        <v>9</v>
      </c>
    </row>
    <row r="213" ht="14.25" customHeight="1">
      <c r="A213" s="1" t="s">
        <v>1493</v>
      </c>
      <c r="B213" s="1" t="s">
        <v>182</v>
      </c>
      <c r="C213" s="1" t="s">
        <v>5</v>
      </c>
      <c r="D213" s="1" t="s">
        <v>1494</v>
      </c>
    </row>
    <row r="214" ht="14.25" customHeight="1">
      <c r="A214" s="1" t="s">
        <v>1493</v>
      </c>
      <c r="B214" s="1" t="s">
        <v>182</v>
      </c>
      <c r="C214" s="1" t="s">
        <v>6</v>
      </c>
      <c r="D214" s="1" t="s">
        <v>21</v>
      </c>
    </row>
    <row r="215" ht="14.25" customHeight="1">
      <c r="A215" s="1" t="s">
        <v>1495</v>
      </c>
      <c r="B215" s="1" t="s">
        <v>264</v>
      </c>
      <c r="C215" s="1" t="s">
        <v>7</v>
      </c>
      <c r="D215" s="1" t="s">
        <v>9</v>
      </c>
    </row>
    <row r="216" ht="14.25" customHeight="1">
      <c r="A216" s="1" t="s">
        <v>1495</v>
      </c>
      <c r="B216" s="1" t="s">
        <v>264</v>
      </c>
      <c r="C216" s="1" t="s">
        <v>5</v>
      </c>
      <c r="D216" s="1" t="s">
        <v>1496</v>
      </c>
    </row>
    <row r="217" ht="14.25" customHeight="1">
      <c r="A217" s="1" t="s">
        <v>1495</v>
      </c>
      <c r="B217" s="1" t="s">
        <v>264</v>
      </c>
      <c r="C217" s="1" t="s">
        <v>6</v>
      </c>
      <c r="D217" s="1" t="s">
        <v>15</v>
      </c>
    </row>
    <row r="218" ht="14.25" customHeight="1">
      <c r="A218" s="1" t="s">
        <v>1497</v>
      </c>
      <c r="B218" s="1" t="s">
        <v>249</v>
      </c>
      <c r="C218" s="1" t="s">
        <v>7</v>
      </c>
      <c r="D218" s="1" t="s">
        <v>9</v>
      </c>
    </row>
    <row r="219" ht="14.25" customHeight="1">
      <c r="A219" s="1" t="s">
        <v>1497</v>
      </c>
      <c r="B219" s="1" t="s">
        <v>249</v>
      </c>
      <c r="C219" s="1" t="s">
        <v>5</v>
      </c>
      <c r="D219" s="1" t="s">
        <v>1498</v>
      </c>
    </row>
    <row r="220" ht="14.25" customHeight="1">
      <c r="A220" s="1" t="s">
        <v>1497</v>
      </c>
      <c r="B220" s="1" t="s">
        <v>249</v>
      </c>
      <c r="C220" s="1" t="s">
        <v>6</v>
      </c>
      <c r="D220" s="1" t="s">
        <v>21</v>
      </c>
    </row>
    <row r="221" ht="14.25" customHeight="1">
      <c r="A221" s="1" t="s">
        <v>1499</v>
      </c>
      <c r="B221" s="1" t="s">
        <v>339</v>
      </c>
      <c r="C221" s="1" t="s">
        <v>7</v>
      </c>
      <c r="D221" s="1" t="s">
        <v>9</v>
      </c>
    </row>
    <row r="222" ht="14.25" customHeight="1">
      <c r="A222" s="1" t="s">
        <v>1499</v>
      </c>
      <c r="B222" s="1" t="s">
        <v>339</v>
      </c>
      <c r="C222" s="1" t="s">
        <v>5</v>
      </c>
      <c r="D222" s="1" t="s">
        <v>1500</v>
      </c>
    </row>
    <row r="223" ht="14.25" customHeight="1">
      <c r="A223" s="1" t="s">
        <v>1499</v>
      </c>
      <c r="B223" s="1" t="s">
        <v>339</v>
      </c>
      <c r="C223" s="1" t="s">
        <v>6</v>
      </c>
      <c r="D223" s="1" t="s">
        <v>21</v>
      </c>
    </row>
    <row r="224" ht="14.25" customHeight="1">
      <c r="A224" s="1" t="s">
        <v>1501</v>
      </c>
      <c r="B224" s="1" t="s">
        <v>236</v>
      </c>
      <c r="C224" s="1" t="s">
        <v>7</v>
      </c>
      <c r="D224" s="1" t="s">
        <v>13</v>
      </c>
    </row>
    <row r="225" ht="14.25" customHeight="1">
      <c r="A225" s="1" t="s">
        <v>1501</v>
      </c>
      <c r="B225" s="1" t="s">
        <v>236</v>
      </c>
      <c r="C225" s="1" t="s">
        <v>5</v>
      </c>
      <c r="D225" s="1" t="s">
        <v>1502</v>
      </c>
    </row>
    <row r="226" ht="14.25" customHeight="1">
      <c r="A226" s="1" t="s">
        <v>1501</v>
      </c>
      <c r="B226" s="1" t="s">
        <v>236</v>
      </c>
      <c r="C226" s="1" t="s">
        <v>6</v>
      </c>
      <c r="D226" s="1" t="s">
        <v>15</v>
      </c>
    </row>
    <row r="227" ht="14.25" customHeight="1">
      <c r="A227" s="1" t="s">
        <v>1503</v>
      </c>
      <c r="B227" s="1" t="s">
        <v>194</v>
      </c>
      <c r="C227" s="1" t="s">
        <v>7</v>
      </c>
      <c r="D227" s="1" t="s">
        <v>25</v>
      </c>
    </row>
    <row r="228" ht="14.25" customHeight="1">
      <c r="A228" s="1" t="s">
        <v>1503</v>
      </c>
      <c r="B228" s="1" t="s">
        <v>194</v>
      </c>
      <c r="C228" s="1" t="s">
        <v>5</v>
      </c>
      <c r="D228" s="1" t="s">
        <v>1504</v>
      </c>
    </row>
    <row r="229" ht="14.25" customHeight="1">
      <c r="A229" s="1" t="s">
        <v>1503</v>
      </c>
      <c r="B229" s="1" t="s">
        <v>194</v>
      </c>
      <c r="C229" s="1" t="s">
        <v>6</v>
      </c>
      <c r="D229" s="1" t="s">
        <v>21</v>
      </c>
    </row>
    <row r="230" ht="14.25" customHeight="1">
      <c r="A230" s="1" t="s">
        <v>1505</v>
      </c>
      <c r="B230" s="1" t="s">
        <v>292</v>
      </c>
      <c r="C230" s="1" t="s">
        <v>7</v>
      </c>
      <c r="D230" s="1" t="s">
        <v>25</v>
      </c>
    </row>
    <row r="231" ht="14.25" customHeight="1">
      <c r="A231" s="1" t="s">
        <v>1505</v>
      </c>
      <c r="B231" s="1" t="s">
        <v>292</v>
      </c>
      <c r="C231" s="1" t="s">
        <v>5</v>
      </c>
      <c r="D231" s="1" t="s">
        <v>1506</v>
      </c>
    </row>
    <row r="232" ht="14.25" customHeight="1">
      <c r="A232" s="1" t="s">
        <v>1505</v>
      </c>
      <c r="B232" s="1" t="s">
        <v>292</v>
      </c>
      <c r="C232" s="1" t="s">
        <v>6</v>
      </c>
      <c r="D232" s="1" t="s">
        <v>21</v>
      </c>
    </row>
    <row r="233" ht="14.25" customHeight="1">
      <c r="A233" s="1" t="s">
        <v>1507</v>
      </c>
      <c r="B233" s="1" t="s">
        <v>378</v>
      </c>
      <c r="C233" s="1" t="s">
        <v>7</v>
      </c>
      <c r="D233" s="1" t="s">
        <v>25</v>
      </c>
    </row>
    <row r="234" ht="14.25" customHeight="1">
      <c r="A234" s="1" t="s">
        <v>1507</v>
      </c>
      <c r="B234" s="1" t="s">
        <v>378</v>
      </c>
      <c r="C234" s="1" t="s">
        <v>5</v>
      </c>
      <c r="D234" s="1" t="s">
        <v>1508</v>
      </c>
    </row>
    <row r="235" ht="14.25" customHeight="1">
      <c r="A235" s="1" t="s">
        <v>1507</v>
      </c>
      <c r="B235" s="1" t="s">
        <v>378</v>
      </c>
      <c r="C235" s="1" t="s">
        <v>6</v>
      </c>
      <c r="D235" s="1" t="s">
        <v>15</v>
      </c>
    </row>
    <row r="236" ht="14.25" customHeight="1">
      <c r="A236" s="1" t="s">
        <v>1509</v>
      </c>
      <c r="B236" s="1" t="s">
        <v>197</v>
      </c>
      <c r="C236" s="1" t="s">
        <v>7</v>
      </c>
      <c r="D236" s="1" t="s">
        <v>19</v>
      </c>
    </row>
    <row r="237" ht="14.25" customHeight="1">
      <c r="A237" s="1" t="s">
        <v>1509</v>
      </c>
      <c r="B237" s="1" t="s">
        <v>197</v>
      </c>
      <c r="C237" s="1" t="s">
        <v>5</v>
      </c>
      <c r="D237" s="1" t="s">
        <v>1510</v>
      </c>
    </row>
    <row r="238" ht="14.25" customHeight="1">
      <c r="A238" s="1" t="s">
        <v>1509</v>
      </c>
      <c r="B238" s="1" t="s">
        <v>197</v>
      </c>
      <c r="C238" s="1" t="s">
        <v>6</v>
      </c>
      <c r="D238" s="1" t="s">
        <v>11</v>
      </c>
    </row>
    <row r="239" ht="14.25" customHeight="1">
      <c r="A239" s="1" t="s">
        <v>1511</v>
      </c>
      <c r="B239" s="1" t="s">
        <v>236</v>
      </c>
      <c r="C239" s="1" t="s">
        <v>7</v>
      </c>
      <c r="D239" s="1" t="s">
        <v>19</v>
      </c>
    </row>
    <row r="240" ht="14.25" customHeight="1">
      <c r="A240" s="1" t="s">
        <v>1511</v>
      </c>
      <c r="B240" s="1" t="s">
        <v>236</v>
      </c>
      <c r="C240" s="1" t="s">
        <v>5</v>
      </c>
      <c r="D240" s="1" t="s">
        <v>1512</v>
      </c>
    </row>
    <row r="241" ht="14.25" customHeight="1">
      <c r="A241" s="1" t="s">
        <v>1511</v>
      </c>
      <c r="B241" s="1" t="s">
        <v>236</v>
      </c>
      <c r="C241" s="1" t="s">
        <v>6</v>
      </c>
      <c r="D241" s="1" t="s">
        <v>21</v>
      </c>
    </row>
    <row r="242" ht="14.25" customHeight="1">
      <c r="A242" s="1" t="s">
        <v>1513</v>
      </c>
      <c r="B242" s="1" t="s">
        <v>249</v>
      </c>
      <c r="C242" s="1" t="s">
        <v>7</v>
      </c>
      <c r="D242" s="1" t="s">
        <v>13</v>
      </c>
    </row>
    <row r="243" ht="14.25" customHeight="1">
      <c r="A243" s="1" t="s">
        <v>1513</v>
      </c>
      <c r="B243" s="1" t="s">
        <v>249</v>
      </c>
      <c r="C243" s="1" t="s">
        <v>5</v>
      </c>
      <c r="D243" s="1" t="s">
        <v>1514</v>
      </c>
    </row>
    <row r="244" ht="14.25" customHeight="1">
      <c r="A244" s="1" t="s">
        <v>1513</v>
      </c>
      <c r="B244" s="1" t="s">
        <v>249</v>
      </c>
      <c r="C244" s="1" t="s">
        <v>6</v>
      </c>
      <c r="D244" s="1" t="s">
        <v>11</v>
      </c>
    </row>
    <row r="245" ht="14.25" customHeight="1">
      <c r="A245" s="1" t="s">
        <v>1515</v>
      </c>
      <c r="B245" s="1" t="s">
        <v>211</v>
      </c>
      <c r="C245" s="1" t="s">
        <v>7</v>
      </c>
      <c r="D245" s="1" t="s">
        <v>25</v>
      </c>
    </row>
    <row r="246" ht="14.25" customHeight="1">
      <c r="A246" s="1" t="s">
        <v>1515</v>
      </c>
      <c r="B246" s="1" t="s">
        <v>211</v>
      </c>
      <c r="C246" s="1" t="s">
        <v>5</v>
      </c>
      <c r="D246" s="1" t="s">
        <v>1516</v>
      </c>
    </row>
    <row r="247" ht="14.25" customHeight="1">
      <c r="A247" s="1" t="s">
        <v>1515</v>
      </c>
      <c r="B247" s="1" t="s">
        <v>211</v>
      </c>
      <c r="C247" s="1" t="s">
        <v>6</v>
      </c>
      <c r="D247" s="1" t="s">
        <v>15</v>
      </c>
    </row>
    <row r="248" ht="14.25" customHeight="1">
      <c r="A248" s="1" t="s">
        <v>1517</v>
      </c>
      <c r="B248" s="1" t="s">
        <v>223</v>
      </c>
      <c r="C248" s="1" t="s">
        <v>7</v>
      </c>
      <c r="D248" s="1" t="s">
        <v>19</v>
      </c>
    </row>
    <row r="249" ht="14.25" customHeight="1">
      <c r="A249" s="1" t="s">
        <v>1517</v>
      </c>
      <c r="B249" s="1" t="s">
        <v>223</v>
      </c>
      <c r="C249" s="1" t="s">
        <v>5</v>
      </c>
      <c r="D249" s="1" t="s">
        <v>1518</v>
      </c>
    </row>
    <row r="250" ht="14.25" customHeight="1">
      <c r="A250" s="1" t="s">
        <v>1517</v>
      </c>
      <c r="B250" s="1" t="s">
        <v>223</v>
      </c>
      <c r="C250" s="1" t="s">
        <v>6</v>
      </c>
      <c r="D250" s="1" t="s">
        <v>15</v>
      </c>
    </row>
    <row r="251" ht="14.25" customHeight="1">
      <c r="A251" s="1" t="s">
        <v>1519</v>
      </c>
      <c r="B251" s="1" t="s">
        <v>264</v>
      </c>
      <c r="C251" s="1" t="s">
        <v>7</v>
      </c>
      <c r="D251" s="1" t="s">
        <v>25</v>
      </c>
    </row>
    <row r="252" ht="14.25" customHeight="1">
      <c r="A252" s="1" t="s">
        <v>1519</v>
      </c>
      <c r="B252" s="1" t="s">
        <v>264</v>
      </c>
      <c r="C252" s="1" t="s">
        <v>5</v>
      </c>
      <c r="D252" s="1" t="s">
        <v>1520</v>
      </c>
    </row>
    <row r="253" ht="14.25" customHeight="1">
      <c r="A253" s="1" t="s">
        <v>1519</v>
      </c>
      <c r="B253" s="1" t="s">
        <v>264</v>
      </c>
      <c r="C253" s="1" t="s">
        <v>6</v>
      </c>
      <c r="D253" s="1" t="s">
        <v>21</v>
      </c>
    </row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