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gif" ContentType="image/gif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hubaraghavan/Documents/Dropbox/SpaceConditioning_WithWH/"/>
    </mc:Choice>
  </mc:AlternateContent>
  <bookViews>
    <workbookView xWindow="3380" yWindow="460" windowWidth="25420" windowHeight="15540"/>
  </bookViews>
  <sheets>
    <sheet name="HDD_CDD" sheetId="1" r:id="rId1"/>
    <sheet name="UVals" sheetId="15" r:id="rId2"/>
    <sheet name="HousingSpecs" sheetId="2" r:id="rId3"/>
    <sheet name="App_Saturation" sheetId="20" r:id="rId4"/>
    <sheet name="HDD_CDD (2)" sheetId="18" r:id="rId5"/>
    <sheet name="HDD_CDD _BrianUCI" sheetId="14" r:id="rId6"/>
    <sheet name="Space Heating" sheetId="12" r:id="rId7"/>
    <sheet name="Sheet5" sheetId="21" r:id="rId8"/>
    <sheet name="HousingTypeCounty" sheetId="17" r:id="rId9"/>
    <sheet name="Residential_RASS" sheetId="16" r:id="rId10"/>
    <sheet name="Consolidated_Results" sheetId="10" r:id="rId11"/>
    <sheet name="Sheet2" sheetId="13" r:id="rId12"/>
    <sheet name="Sheet3" sheetId="9" r:id="rId13"/>
    <sheet name="Appliance Types" sheetId="4" r:id="rId14"/>
    <sheet name="Sheet4" sheetId="19" r:id="rId15"/>
    <sheet name="HouseTypes Asssumed " sheetId="5" r:id="rId16"/>
    <sheet name="Engdemand_withStckTurnover" sheetId="3" r:id="rId17"/>
    <sheet name="Sheet1" sheetId="7" r:id="rId18"/>
    <sheet name="Annual Heat Energy Demand" sheetId="6" r:id="rId19"/>
    <sheet name="HDD_CDD_season" sheetId="8" r:id="rId20"/>
    <sheet name="Frozen" sheetId="11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6" l="1"/>
  <c r="O34" i="16"/>
  <c r="O35" i="16"/>
  <c r="O36" i="16"/>
  <c r="O37" i="16"/>
  <c r="O38" i="16"/>
  <c r="O39" i="16"/>
  <c r="N40" i="16"/>
  <c r="K31" i="20"/>
  <c r="K30" i="20"/>
  <c r="G33" i="21"/>
  <c r="F33" i="21"/>
  <c r="F44" i="21"/>
  <c r="E44" i="21"/>
  <c r="F43" i="21"/>
  <c r="R22" i="21"/>
  <c r="G31" i="21"/>
  <c r="G30" i="21"/>
  <c r="F38" i="21"/>
  <c r="N22" i="21"/>
  <c r="O22" i="21"/>
  <c r="P22" i="21"/>
  <c r="Q22" i="21"/>
  <c r="N23" i="21"/>
  <c r="O23" i="21"/>
  <c r="P23" i="21"/>
  <c r="Q23" i="21"/>
  <c r="R23" i="21"/>
  <c r="J44" i="2"/>
  <c r="D41" i="2"/>
  <c r="D40" i="2"/>
  <c r="D42" i="2"/>
  <c r="D43" i="2"/>
  <c r="D49" i="2"/>
  <c r="D48" i="2"/>
  <c r="D47" i="2"/>
  <c r="D46" i="2"/>
  <c r="O9" i="2"/>
  <c r="N9" i="2"/>
  <c r="M9" i="2"/>
  <c r="M8" i="2"/>
  <c r="N8" i="2"/>
  <c r="A7" i="2"/>
  <c r="A13" i="2"/>
  <c r="D7" i="2"/>
  <c r="I36" i="2"/>
  <c r="I34" i="2"/>
  <c r="I33" i="2"/>
  <c r="I32" i="2"/>
  <c r="I31" i="2"/>
  <c r="D38" i="2"/>
  <c r="D37" i="2"/>
  <c r="D36" i="2"/>
  <c r="D35" i="2"/>
  <c r="D34" i="2"/>
  <c r="D33" i="2"/>
  <c r="D32" i="2"/>
  <c r="D31" i="2"/>
  <c r="C33" i="2"/>
  <c r="C32" i="2"/>
  <c r="C31" i="2"/>
  <c r="L38" i="15"/>
  <c r="K38" i="15"/>
  <c r="K37" i="15"/>
  <c r="T60" i="15"/>
  <c r="T59" i="15"/>
  <c r="C49" i="16"/>
  <c r="C51" i="16"/>
  <c r="C52" i="16"/>
  <c r="B49" i="16"/>
  <c r="O50" i="15"/>
  <c r="N44" i="15"/>
  <c r="O44" i="15"/>
  <c r="D14" i="2"/>
  <c r="H14" i="2"/>
  <c r="D15" i="2"/>
  <c r="H15" i="2"/>
  <c r="D16" i="2"/>
  <c r="H16" i="2"/>
  <c r="D17" i="2"/>
  <c r="H17" i="2"/>
  <c r="D18" i="2"/>
  <c r="H18" i="2"/>
  <c r="D19" i="2"/>
  <c r="H19" i="2"/>
  <c r="D20" i="2"/>
  <c r="H20" i="2"/>
  <c r="D21" i="2"/>
  <c r="H21" i="2"/>
  <c r="D22" i="2"/>
  <c r="H22" i="2"/>
  <c r="D23" i="2"/>
  <c r="H23" i="2"/>
  <c r="D24" i="2"/>
  <c r="H24" i="2"/>
  <c r="D25" i="2"/>
  <c r="H25" i="2"/>
  <c r="D26" i="2"/>
  <c r="H26" i="2"/>
  <c r="D27" i="2"/>
  <c r="H27" i="2"/>
  <c r="D28" i="2"/>
  <c r="H28" i="2"/>
  <c r="D13" i="2"/>
  <c r="H13" i="2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6" i="20"/>
  <c r="E25" i="20"/>
  <c r="F25" i="20"/>
  <c r="I25" i="20"/>
  <c r="D25" i="20"/>
  <c r="D42" i="20"/>
  <c r="F42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D41" i="20"/>
  <c r="F41" i="20"/>
  <c r="D40" i="20"/>
  <c r="F40" i="20"/>
  <c r="D39" i="20"/>
  <c r="F39" i="20"/>
  <c r="D38" i="20"/>
  <c r="F38" i="20"/>
  <c r="D37" i="20"/>
  <c r="F37" i="20"/>
  <c r="D36" i="20"/>
  <c r="F36" i="20"/>
  <c r="D35" i="20"/>
  <c r="F35" i="20"/>
  <c r="D34" i="20"/>
  <c r="F34" i="20"/>
  <c r="D33" i="20"/>
  <c r="F33" i="20"/>
  <c r="D32" i="20"/>
  <c r="F32" i="20"/>
  <c r="D31" i="20"/>
  <c r="F31" i="20"/>
  <c r="D30" i="20"/>
  <c r="F30" i="20"/>
  <c r="D29" i="20"/>
  <c r="F29" i="20"/>
  <c r="D28" i="20"/>
  <c r="F28" i="20"/>
  <c r="D27" i="20"/>
  <c r="F27" i="20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6" i="20"/>
  <c r="Q43" i="1"/>
  <c r="Q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D1" i="2"/>
  <c r="A2" i="2"/>
  <c r="A3" i="2"/>
  <c r="B3" i="2"/>
  <c r="C3" i="2"/>
  <c r="B18" i="1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7" i="20"/>
  <c r="N40" i="1"/>
  <c r="G44" i="10"/>
  <c r="H44" i="10"/>
  <c r="I44" i="10"/>
  <c r="J44" i="10"/>
  <c r="K44" i="10"/>
  <c r="G45" i="10"/>
  <c r="H45" i="10"/>
  <c r="I45" i="10"/>
  <c r="J45" i="10"/>
  <c r="K45" i="10"/>
  <c r="F45" i="10"/>
  <c r="F44" i="10"/>
  <c r="F5" i="12"/>
  <c r="N62" i="15"/>
  <c r="N61" i="15"/>
  <c r="P60" i="15"/>
  <c r="N3" i="2"/>
  <c r="T31" i="20"/>
  <c r="AC5" i="10"/>
  <c r="Q31" i="20"/>
  <c r="R31" i="20"/>
  <c r="S31" i="20"/>
  <c r="P31" i="20"/>
  <c r="Q29" i="20"/>
  <c r="R29" i="20"/>
  <c r="S29" i="20"/>
  <c r="T29" i="20"/>
  <c r="P29" i="20"/>
  <c r="F65" i="15"/>
  <c r="C1" i="20"/>
  <c r="L62" i="15"/>
  <c r="L63" i="15"/>
  <c r="L64" i="15"/>
  <c r="I31" i="1"/>
  <c r="I30" i="1"/>
  <c r="I29" i="1"/>
  <c r="A38" i="15"/>
  <c r="A37" i="15"/>
  <c r="J4" i="9"/>
  <c r="I4" i="9"/>
  <c r="J20" i="9"/>
  <c r="K20" i="9"/>
  <c r="I20" i="9"/>
  <c r="J18" i="9"/>
  <c r="K18" i="9"/>
  <c r="I18" i="9"/>
  <c r="K16" i="9"/>
  <c r="K10" i="9"/>
  <c r="J16" i="9"/>
  <c r="I16" i="9"/>
  <c r="J10" i="9"/>
  <c r="I10" i="9"/>
  <c r="A66" i="15"/>
  <c r="I62" i="15"/>
  <c r="J62" i="15"/>
  <c r="K62" i="15"/>
  <c r="I63" i="15"/>
  <c r="J63" i="15"/>
  <c r="K63" i="15"/>
  <c r="I64" i="15"/>
  <c r="J64" i="15"/>
  <c r="K64" i="15"/>
  <c r="AK10" i="10"/>
  <c r="AK8" i="10"/>
  <c r="AJ7" i="10"/>
  <c r="AK7" i="10"/>
  <c r="AF7" i="10"/>
  <c r="AH7" i="10"/>
  <c r="AJ5" i="10"/>
  <c r="AJ4" i="10"/>
  <c r="AH5" i="10"/>
  <c r="AF5" i="10"/>
  <c r="S34" i="16"/>
  <c r="S38" i="16"/>
  <c r="J4" i="12"/>
  <c r="H4" i="12"/>
  <c r="F4" i="12"/>
  <c r="F3" i="12"/>
  <c r="F46" i="13"/>
  <c r="F42" i="13"/>
  <c r="I42" i="13"/>
  <c r="K39" i="13"/>
  <c r="H40" i="13"/>
  <c r="G42" i="13"/>
  <c r="Y17" i="13"/>
  <c r="Y15" i="13"/>
  <c r="R16" i="13"/>
  <c r="P16" i="13"/>
  <c r="P17" i="13"/>
  <c r="V10" i="13"/>
  <c r="M52" i="10"/>
  <c r="P52" i="10"/>
  <c r="AC55" i="10"/>
  <c r="G15" i="13"/>
  <c r="I39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10" i="13"/>
  <c r="N10" i="13"/>
  <c r="H17" i="13"/>
  <c r="P5" i="2"/>
  <c r="H5" i="2"/>
  <c r="I5" i="2"/>
  <c r="F19" i="9"/>
  <c r="F18" i="9"/>
  <c r="E29" i="2"/>
  <c r="D29" i="2"/>
  <c r="C29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G34" i="13"/>
  <c r="F34" i="13"/>
  <c r="F33" i="13"/>
  <c r="F32" i="13"/>
  <c r="G33" i="13"/>
  <c r="H32" i="13"/>
  <c r="H31" i="13"/>
  <c r="J31" i="1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E24" i="16"/>
  <c r="F24" i="16"/>
  <c r="G24" i="16"/>
  <c r="H24" i="16"/>
  <c r="D24" i="16"/>
  <c r="E23" i="16"/>
  <c r="F23" i="16"/>
  <c r="G23" i="16"/>
  <c r="H23" i="16"/>
  <c r="D23" i="16"/>
  <c r="D19" i="16"/>
  <c r="D22" i="16"/>
  <c r="D16" i="16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H3" i="1"/>
  <c r="E40" i="16"/>
  <c r="M55" i="15"/>
  <c r="M56" i="15"/>
  <c r="M54" i="15"/>
  <c r="O21" i="1"/>
  <c r="N21" i="1"/>
  <c r="F26" i="1"/>
  <c r="C66" i="15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G48" i="18"/>
  <c r="AG47" i="18"/>
  <c r="AG46" i="18"/>
  <c r="F46" i="18"/>
  <c r="AG45" i="18"/>
  <c r="O44" i="18"/>
  <c r="O45" i="18"/>
  <c r="AG44" i="18"/>
  <c r="C22" i="18"/>
  <c r="W25" i="18"/>
  <c r="Y25" i="18"/>
  <c r="W26" i="18"/>
  <c r="Y26" i="18"/>
  <c r="W27" i="18"/>
  <c r="Y27" i="18"/>
  <c r="W28" i="18"/>
  <c r="Y28" i="18"/>
  <c r="W29" i="18"/>
  <c r="Y29" i="18"/>
  <c r="W30" i="18"/>
  <c r="Y30" i="18"/>
  <c r="W31" i="18"/>
  <c r="Y31" i="18"/>
  <c r="W32" i="18"/>
  <c r="Y32" i="18"/>
  <c r="W33" i="18"/>
  <c r="Y33" i="18"/>
  <c r="W34" i="18"/>
  <c r="Y34" i="18"/>
  <c r="W35" i="18"/>
  <c r="Y35" i="18"/>
  <c r="W36" i="18"/>
  <c r="Y36" i="18"/>
  <c r="W37" i="18"/>
  <c r="Y37" i="18"/>
  <c r="W38" i="18"/>
  <c r="Y38" i="18"/>
  <c r="W39" i="18"/>
  <c r="Y39" i="18"/>
  <c r="W40" i="18"/>
  <c r="Y40" i="18"/>
  <c r="W41" i="18"/>
  <c r="Y41" i="18"/>
  <c r="Y42" i="18"/>
  <c r="Y44" i="18"/>
  <c r="Z44" i="18"/>
  <c r="W42" i="18"/>
  <c r="W43" i="18"/>
  <c r="W44" i="18"/>
  <c r="Q43" i="18"/>
  <c r="Q44" i="18"/>
  <c r="V25" i="18"/>
  <c r="N26" i="18"/>
  <c r="V26" i="18"/>
  <c r="N27" i="18"/>
  <c r="V27" i="18"/>
  <c r="N28" i="18"/>
  <c r="V28" i="18"/>
  <c r="N29" i="18"/>
  <c r="V29" i="18"/>
  <c r="N30" i="18"/>
  <c r="V30" i="18"/>
  <c r="N31" i="18"/>
  <c r="V31" i="18"/>
  <c r="N32" i="18"/>
  <c r="V32" i="18"/>
  <c r="N33" i="18"/>
  <c r="V33" i="18"/>
  <c r="N34" i="18"/>
  <c r="V34" i="18"/>
  <c r="N35" i="18"/>
  <c r="V35" i="18"/>
  <c r="N36" i="18"/>
  <c r="V36" i="18"/>
  <c r="N37" i="18"/>
  <c r="V37" i="18"/>
  <c r="N38" i="18"/>
  <c r="V38" i="18"/>
  <c r="N39" i="18"/>
  <c r="V39" i="18"/>
  <c r="N40" i="18"/>
  <c r="V40" i="18"/>
  <c r="V41" i="18"/>
  <c r="V42" i="18"/>
  <c r="S42" i="18"/>
  <c r="J42" i="18"/>
  <c r="I42" i="18"/>
  <c r="C42" i="18"/>
  <c r="D42" i="18"/>
  <c r="Q31" i="18"/>
  <c r="Q32" i="18"/>
  <c r="Q33" i="18"/>
  <c r="Q34" i="18"/>
  <c r="Q35" i="18"/>
  <c r="Q36" i="18"/>
  <c r="Q37" i="18"/>
  <c r="Q41" i="18"/>
  <c r="P41" i="18"/>
  <c r="O41" i="18"/>
  <c r="N41" i="18"/>
  <c r="AD40" i="18"/>
  <c r="AE40" i="18"/>
  <c r="AF40" i="18"/>
  <c r="Z40" i="18"/>
  <c r="AA40" i="18"/>
  <c r="AB40" i="18"/>
  <c r="H18" i="18"/>
  <c r="G18" i="18"/>
  <c r="U40" i="18"/>
  <c r="T40" i="18"/>
  <c r="S40" i="18"/>
  <c r="R40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E40" i="18"/>
  <c r="A40" i="18"/>
  <c r="AD39" i="18"/>
  <c r="AE39" i="18"/>
  <c r="AF39" i="18"/>
  <c r="Z39" i="18"/>
  <c r="AA39" i="18"/>
  <c r="AB39" i="18"/>
  <c r="F17" i="18"/>
  <c r="H17" i="18"/>
  <c r="G17" i="18"/>
  <c r="U39" i="18"/>
  <c r="T39" i="18"/>
  <c r="S39" i="18"/>
  <c r="R39" i="18"/>
  <c r="E39" i="18"/>
  <c r="D39" i="18"/>
  <c r="A39" i="18"/>
  <c r="Z38" i="18"/>
  <c r="AA38" i="18"/>
  <c r="AB38" i="18"/>
  <c r="H16" i="18"/>
  <c r="G16" i="18"/>
  <c r="U38" i="18"/>
  <c r="T38" i="18"/>
  <c r="S38" i="18"/>
  <c r="R38" i="18"/>
  <c r="E38" i="18"/>
  <c r="D38" i="18"/>
  <c r="A38" i="18"/>
  <c r="Z37" i="18"/>
  <c r="AA37" i="18"/>
  <c r="AB37" i="18"/>
  <c r="H15" i="18"/>
  <c r="G15" i="18"/>
  <c r="U37" i="18"/>
  <c r="T37" i="18"/>
  <c r="S37" i="18"/>
  <c r="R37" i="18"/>
  <c r="E37" i="18"/>
  <c r="D37" i="18"/>
  <c r="A37" i="18"/>
  <c r="Z36" i="18"/>
  <c r="AA36" i="18"/>
  <c r="AB36" i="18"/>
  <c r="H14" i="18"/>
  <c r="G14" i="18"/>
  <c r="U36" i="18"/>
  <c r="T36" i="18"/>
  <c r="S36" i="18"/>
  <c r="R36" i="18"/>
  <c r="E36" i="18"/>
  <c r="D36" i="18"/>
  <c r="A36" i="18"/>
  <c r="Z35" i="18"/>
  <c r="AA35" i="18"/>
  <c r="AB35" i="18"/>
  <c r="F13" i="18"/>
  <c r="H13" i="18"/>
  <c r="G13" i="18"/>
  <c r="U35" i="18"/>
  <c r="T35" i="18"/>
  <c r="S35" i="18"/>
  <c r="R35" i="18"/>
  <c r="E35" i="18"/>
  <c r="D35" i="18"/>
  <c r="A35" i="18"/>
  <c r="Z34" i="18"/>
  <c r="AA34" i="18"/>
  <c r="AB34" i="18"/>
  <c r="H12" i="18"/>
  <c r="G12" i="18"/>
  <c r="U34" i="18"/>
  <c r="T34" i="18"/>
  <c r="S34" i="18"/>
  <c r="R34" i="18"/>
  <c r="K32" i="18"/>
  <c r="L32" i="18"/>
  <c r="K33" i="18"/>
  <c r="K34" i="18"/>
  <c r="E34" i="18"/>
  <c r="D34" i="18"/>
  <c r="A34" i="18"/>
  <c r="Z33" i="18"/>
  <c r="AA33" i="18"/>
  <c r="AB33" i="18"/>
  <c r="H11" i="18"/>
  <c r="G11" i="18"/>
  <c r="U33" i="18"/>
  <c r="T33" i="18"/>
  <c r="S33" i="18"/>
  <c r="R33" i="18"/>
  <c r="E33" i="18"/>
  <c r="D33" i="18"/>
  <c r="A33" i="18"/>
  <c r="AD32" i="18"/>
  <c r="AE32" i="18"/>
  <c r="AF32" i="18"/>
  <c r="Z32" i="18"/>
  <c r="AA32" i="18"/>
  <c r="AB32" i="18"/>
  <c r="H10" i="14"/>
  <c r="H10" i="18"/>
  <c r="G10" i="18"/>
  <c r="U32" i="18"/>
  <c r="T32" i="18"/>
  <c r="S32" i="18"/>
  <c r="R32" i="18"/>
  <c r="E32" i="18"/>
  <c r="D32" i="18"/>
  <c r="A32" i="18"/>
  <c r="AW23" i="18"/>
  <c r="AW26" i="18"/>
  <c r="AW31" i="18"/>
  <c r="AW17" i="18"/>
  <c r="AT31" i="18"/>
  <c r="Z31" i="18"/>
  <c r="AA31" i="18"/>
  <c r="AB31" i="18"/>
  <c r="H9" i="18"/>
  <c r="G9" i="18"/>
  <c r="U31" i="18"/>
  <c r="T31" i="18"/>
  <c r="S31" i="18"/>
  <c r="R31" i="18"/>
  <c r="E31" i="18"/>
  <c r="D31" i="18"/>
  <c r="A31" i="18"/>
  <c r="AT30" i="18"/>
  <c r="Z30" i="18"/>
  <c r="AA30" i="18"/>
  <c r="AB30" i="18"/>
  <c r="H8" i="14"/>
  <c r="H8" i="18"/>
  <c r="G8" i="18"/>
  <c r="U30" i="18"/>
  <c r="T30" i="18"/>
  <c r="S30" i="18"/>
  <c r="R30" i="18"/>
  <c r="E30" i="18"/>
  <c r="D30" i="18"/>
  <c r="A30" i="18"/>
  <c r="Z29" i="18"/>
  <c r="AA29" i="18"/>
  <c r="AB29" i="18"/>
  <c r="F7" i="18"/>
  <c r="H7" i="14"/>
  <c r="H7" i="18"/>
  <c r="G7" i="18"/>
  <c r="U29" i="18"/>
  <c r="T29" i="18"/>
  <c r="S29" i="18"/>
  <c r="R29" i="18"/>
  <c r="E29" i="18"/>
  <c r="D29" i="18"/>
  <c r="A29" i="18"/>
  <c r="AX15" i="18"/>
  <c r="AX28" i="18"/>
  <c r="AW28" i="18"/>
  <c r="AT28" i="18"/>
  <c r="Z28" i="18"/>
  <c r="AA28" i="18"/>
  <c r="AB28" i="18"/>
  <c r="F6" i="18"/>
  <c r="H6" i="14"/>
  <c r="H6" i="18"/>
  <c r="G6" i="18"/>
  <c r="U28" i="18"/>
  <c r="T28" i="18"/>
  <c r="S28" i="18"/>
  <c r="R28" i="18"/>
  <c r="E28" i="18"/>
  <c r="D28" i="18"/>
  <c r="A28" i="18"/>
  <c r="Z27" i="18"/>
  <c r="AA27" i="18"/>
  <c r="AB27" i="18"/>
  <c r="F5" i="18"/>
  <c r="H5" i="14"/>
  <c r="H5" i="18"/>
  <c r="G5" i="18"/>
  <c r="U27" i="18"/>
  <c r="T27" i="18"/>
  <c r="S27" i="18"/>
  <c r="R27" i="18"/>
  <c r="E27" i="18"/>
  <c r="D27" i="18"/>
  <c r="A27" i="18"/>
  <c r="AT26" i="18"/>
  <c r="Z26" i="18"/>
  <c r="AA26" i="18"/>
  <c r="AB26" i="18"/>
  <c r="F4" i="18"/>
  <c r="H4" i="14"/>
  <c r="H4" i="18"/>
  <c r="G4" i="18"/>
  <c r="U26" i="18"/>
  <c r="T26" i="18"/>
  <c r="S26" i="18"/>
  <c r="R26" i="18"/>
  <c r="E26" i="18"/>
  <c r="D26" i="18"/>
  <c r="A26" i="18"/>
  <c r="AH25" i="18"/>
  <c r="AI25" i="18"/>
  <c r="AJ25" i="18"/>
  <c r="AD25" i="18"/>
  <c r="AE25" i="18"/>
  <c r="AF25" i="18"/>
  <c r="Z25" i="18"/>
  <c r="AA25" i="18"/>
  <c r="AB25" i="18"/>
  <c r="F3" i="18"/>
  <c r="H3" i="14"/>
  <c r="H3" i="18"/>
  <c r="G3" i="18"/>
  <c r="U25" i="18"/>
  <c r="T25" i="18"/>
  <c r="S25" i="18"/>
  <c r="R25" i="18"/>
  <c r="E25" i="18"/>
  <c r="K25" i="18"/>
  <c r="D25" i="18"/>
  <c r="A25" i="18"/>
  <c r="AW21" i="18"/>
  <c r="AW24" i="18"/>
  <c r="AT24" i="18"/>
  <c r="T24" i="18"/>
  <c r="AX21" i="18"/>
  <c r="AW19" i="18"/>
  <c r="W19" i="18"/>
  <c r="AW18" i="18"/>
  <c r="W18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D18" i="18"/>
  <c r="C18" i="18"/>
  <c r="E18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B17" i="18"/>
  <c r="D17" i="18"/>
  <c r="C17" i="18"/>
  <c r="E17" i="18"/>
  <c r="AX16" i="18"/>
  <c r="AW16" i="18"/>
  <c r="D16" i="18"/>
  <c r="C16" i="18"/>
  <c r="E16" i="18"/>
  <c r="AW15" i="18"/>
  <c r="B15" i="18"/>
  <c r="D15" i="18"/>
  <c r="C15" i="18"/>
  <c r="E15" i="18"/>
  <c r="D14" i="18"/>
  <c r="C14" i="18"/>
  <c r="E14" i="18"/>
  <c r="B13" i="18"/>
  <c r="D13" i="18"/>
  <c r="C13" i="18"/>
  <c r="E13" i="18"/>
  <c r="D12" i="18"/>
  <c r="C12" i="18"/>
  <c r="E12" i="18"/>
  <c r="AD11" i="18"/>
  <c r="AB11" i="18"/>
  <c r="D11" i="18"/>
  <c r="C11" i="18"/>
  <c r="E11" i="18"/>
  <c r="J10" i="18"/>
  <c r="D10" i="18"/>
  <c r="C10" i="18"/>
  <c r="E10" i="18"/>
  <c r="AV9" i="18"/>
  <c r="T9" i="18"/>
  <c r="B9" i="18"/>
  <c r="D9" i="18"/>
  <c r="C9" i="18"/>
  <c r="E9" i="18"/>
  <c r="AV8" i="18"/>
  <c r="D8" i="18"/>
  <c r="C8" i="18"/>
  <c r="E8" i="18"/>
  <c r="AV7" i="18"/>
  <c r="Y7" i="18"/>
  <c r="B7" i="18"/>
  <c r="D7" i="18"/>
  <c r="C7" i="18"/>
  <c r="E7" i="18"/>
  <c r="AV6" i="18"/>
  <c r="Y6" i="18"/>
  <c r="B6" i="18"/>
  <c r="D6" i="18"/>
  <c r="C6" i="18"/>
  <c r="E6" i="18"/>
  <c r="AM1" i="18"/>
  <c r="AM5" i="18"/>
  <c r="AN5" i="18"/>
  <c r="AO5" i="18"/>
  <c r="AP1" i="18"/>
  <c r="AP5" i="18"/>
  <c r="AV5" i="18"/>
  <c r="AL5" i="18"/>
  <c r="AK5" i="18"/>
  <c r="AJ1" i="18"/>
  <c r="AJ5" i="18"/>
  <c r="AI5" i="18"/>
  <c r="AH5" i="18"/>
  <c r="Y5" i="18"/>
  <c r="B5" i="18"/>
  <c r="D5" i="18"/>
  <c r="C5" i="18"/>
  <c r="E5" i="18"/>
  <c r="Y4" i="18"/>
  <c r="B4" i="18"/>
  <c r="D4" i="18"/>
  <c r="C4" i="18"/>
  <c r="E4" i="18"/>
  <c r="AF3" i="18"/>
  <c r="B3" i="18"/>
  <c r="D3" i="18"/>
  <c r="C3" i="18"/>
  <c r="E3" i="18"/>
  <c r="C22" i="1"/>
  <c r="W32" i="1"/>
  <c r="W33" i="1"/>
  <c r="W34" i="1"/>
  <c r="W35" i="1"/>
  <c r="W36" i="1"/>
  <c r="W37" i="1"/>
  <c r="W38" i="1"/>
  <c r="W25" i="1"/>
  <c r="W26" i="1"/>
  <c r="W27" i="1"/>
  <c r="W28" i="1"/>
  <c r="W29" i="1"/>
  <c r="W30" i="1"/>
  <c r="W31" i="1"/>
  <c r="W39" i="1"/>
  <c r="W40" i="1"/>
  <c r="W41" i="1"/>
  <c r="W42" i="1"/>
  <c r="W43" i="1"/>
  <c r="V25" i="1"/>
  <c r="N26" i="1"/>
  <c r="V26" i="1"/>
  <c r="N27" i="1"/>
  <c r="V27" i="1"/>
  <c r="N28" i="1"/>
  <c r="V28" i="1"/>
  <c r="N29" i="1"/>
  <c r="V29" i="1"/>
  <c r="N30" i="1"/>
  <c r="V30" i="1"/>
  <c r="N31" i="1"/>
  <c r="V31" i="1"/>
  <c r="N32" i="1"/>
  <c r="V32" i="1"/>
  <c r="N33" i="1"/>
  <c r="V33" i="1"/>
  <c r="N34" i="1"/>
  <c r="V34" i="1"/>
  <c r="N35" i="1"/>
  <c r="V35" i="1"/>
  <c r="N36" i="1"/>
  <c r="V36" i="1"/>
  <c r="N37" i="1"/>
  <c r="V37" i="1"/>
  <c r="V38" i="1"/>
  <c r="N39" i="1"/>
  <c r="V39" i="1"/>
  <c r="V40" i="1"/>
  <c r="V41" i="1"/>
  <c r="V42" i="1"/>
  <c r="O41" i="1"/>
  <c r="Y41" i="1"/>
  <c r="Y40" i="1"/>
  <c r="Y32" i="1"/>
  <c r="Y33" i="1"/>
  <c r="Y34" i="1"/>
  <c r="Y35" i="1"/>
  <c r="Y36" i="1"/>
  <c r="Y37" i="1"/>
  <c r="Y38" i="1"/>
  <c r="Y25" i="1"/>
  <c r="Y26" i="1"/>
  <c r="Y27" i="1"/>
  <c r="Y28" i="1"/>
  <c r="Y29" i="1"/>
  <c r="Y30" i="1"/>
  <c r="Y31" i="1"/>
  <c r="Y39" i="1"/>
  <c r="Y42" i="1"/>
  <c r="R26" i="1"/>
  <c r="S26" i="1"/>
  <c r="R27" i="1"/>
  <c r="S27" i="1"/>
  <c r="R28" i="1"/>
  <c r="S28" i="1"/>
  <c r="R29" i="1"/>
  <c r="S29" i="1"/>
  <c r="R30" i="1"/>
  <c r="S30" i="1"/>
  <c r="R31" i="1"/>
  <c r="Q31" i="1"/>
  <c r="S31" i="1"/>
  <c r="R32" i="1"/>
  <c r="Q32" i="1"/>
  <c r="S32" i="1"/>
  <c r="R33" i="1"/>
  <c r="Q33" i="1"/>
  <c r="S33" i="1"/>
  <c r="R34" i="1"/>
  <c r="Q34" i="1"/>
  <c r="S34" i="1"/>
  <c r="R35" i="1"/>
  <c r="Q35" i="1"/>
  <c r="S35" i="1"/>
  <c r="R36" i="1"/>
  <c r="Q36" i="1"/>
  <c r="S36" i="1"/>
  <c r="R37" i="1"/>
  <c r="Q37" i="1"/>
  <c r="S37" i="1"/>
  <c r="R38" i="1"/>
  <c r="S38" i="1"/>
  <c r="R39" i="1"/>
  <c r="S39" i="1"/>
  <c r="R40" i="1"/>
  <c r="S40" i="1"/>
  <c r="S25" i="1"/>
  <c r="R25" i="1"/>
  <c r="AG51" i="16"/>
  <c r="AH41" i="16"/>
  <c r="V50" i="16"/>
  <c r="AG50" i="16"/>
  <c r="AG33" i="16"/>
  <c r="AG34" i="16"/>
  <c r="AG35" i="16"/>
  <c r="AG36" i="16"/>
  <c r="AG37" i="16"/>
  <c r="AG38" i="16"/>
  <c r="AG39" i="16"/>
  <c r="AG40" i="16"/>
  <c r="AG42" i="16"/>
  <c r="AG43" i="16"/>
  <c r="AG45" i="16"/>
  <c r="AG44" i="16"/>
  <c r="AG41" i="16"/>
  <c r="AE33" i="16"/>
  <c r="AE46" i="16"/>
  <c r="AE34" i="16"/>
  <c r="AE35" i="16"/>
  <c r="AE36" i="16"/>
  <c r="AE37" i="16"/>
  <c r="AE38" i="16"/>
  <c r="AE39" i="16"/>
  <c r="AE40" i="16"/>
  <c r="AE41" i="16"/>
  <c r="AE42" i="16"/>
  <c r="AE43" i="16"/>
  <c r="AE45" i="16"/>
  <c r="AE44" i="16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5" i="1"/>
  <c r="S42" i="1"/>
  <c r="N41" i="1"/>
  <c r="P41" i="1"/>
  <c r="Q41" i="1"/>
  <c r="D39" i="1"/>
  <c r="D38" i="1"/>
  <c r="D37" i="1"/>
  <c r="D36" i="1"/>
  <c r="D35" i="1"/>
  <c r="C42" i="1"/>
  <c r="D42" i="1"/>
  <c r="L60" i="15"/>
  <c r="I45" i="15"/>
  <c r="J45" i="15"/>
  <c r="K45" i="15"/>
  <c r="K60" i="15"/>
  <c r="J60" i="15"/>
  <c r="I60" i="15"/>
  <c r="H60" i="15"/>
  <c r="G60" i="15"/>
  <c r="F60" i="15"/>
  <c r="E60" i="15"/>
  <c r="D60" i="15"/>
  <c r="L59" i="15"/>
  <c r="F44" i="15"/>
  <c r="H44" i="15"/>
  <c r="I44" i="15"/>
  <c r="J44" i="15"/>
  <c r="K44" i="15"/>
  <c r="K59" i="15"/>
  <c r="J59" i="15"/>
  <c r="I59" i="15"/>
  <c r="H59" i="15"/>
  <c r="G44" i="15"/>
  <c r="G59" i="15"/>
  <c r="F59" i="15"/>
  <c r="E59" i="15"/>
  <c r="D59" i="15"/>
  <c r="K56" i="15"/>
  <c r="I52" i="15"/>
  <c r="J52" i="15"/>
  <c r="J56" i="15"/>
  <c r="I56" i="15"/>
  <c r="H56" i="15"/>
  <c r="G56" i="15"/>
  <c r="F56" i="15"/>
  <c r="E56" i="15"/>
  <c r="D56" i="15"/>
  <c r="E51" i="15"/>
  <c r="F51" i="15"/>
  <c r="G51" i="15"/>
  <c r="H51" i="15"/>
  <c r="I51" i="15"/>
  <c r="J51" i="15"/>
  <c r="K51" i="15"/>
  <c r="K55" i="15"/>
  <c r="J55" i="15"/>
  <c r="I55" i="15"/>
  <c r="H55" i="15"/>
  <c r="G55" i="15"/>
  <c r="F55" i="15"/>
  <c r="E55" i="15"/>
  <c r="D55" i="15"/>
  <c r="J53" i="15"/>
  <c r="K53" i="15"/>
  <c r="E53" i="15"/>
  <c r="F53" i="15"/>
  <c r="G50" i="15"/>
  <c r="H50" i="15"/>
  <c r="I50" i="15"/>
  <c r="J50" i="15"/>
  <c r="K50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H38" i="15"/>
  <c r="I38" i="15"/>
  <c r="I37" i="15"/>
  <c r="H36" i="15"/>
  <c r="I36" i="15"/>
  <c r="H30" i="15"/>
  <c r="H29" i="15"/>
  <c r="H28" i="15"/>
  <c r="H27" i="15"/>
  <c r="H26" i="15"/>
  <c r="H25" i="15"/>
  <c r="H24" i="15"/>
  <c r="H21" i="15"/>
  <c r="O21" i="15"/>
  <c r="W21" i="15"/>
  <c r="G21" i="15"/>
  <c r="N21" i="15"/>
  <c r="V21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H20" i="15"/>
  <c r="O20" i="15"/>
  <c r="W20" i="15"/>
  <c r="G20" i="15"/>
  <c r="N20" i="15"/>
  <c r="V20" i="15"/>
  <c r="H19" i="15"/>
  <c r="O19" i="15"/>
  <c r="W19" i="15"/>
  <c r="G19" i="15"/>
  <c r="N19" i="15"/>
  <c r="V19" i="15"/>
  <c r="H18" i="15"/>
  <c r="O18" i="15"/>
  <c r="W18" i="15"/>
  <c r="G18" i="15"/>
  <c r="N18" i="15"/>
  <c r="V18" i="15"/>
  <c r="H17" i="15"/>
  <c r="O17" i="15"/>
  <c r="W17" i="15"/>
  <c r="G17" i="15"/>
  <c r="N17" i="15"/>
  <c r="V17" i="15"/>
  <c r="H16" i="15"/>
  <c r="O16" i="15"/>
  <c r="W16" i="15"/>
  <c r="G16" i="15"/>
  <c r="N16" i="15"/>
  <c r="V16" i="15"/>
  <c r="H15" i="15"/>
  <c r="O15" i="15"/>
  <c r="W15" i="15"/>
  <c r="G15" i="15"/>
  <c r="N15" i="15"/>
  <c r="V15" i="15"/>
  <c r="H14" i="15"/>
  <c r="O14" i="15"/>
  <c r="W14" i="15"/>
  <c r="G14" i="15"/>
  <c r="N14" i="15"/>
  <c r="V14" i="15"/>
  <c r="H13" i="15"/>
  <c r="O13" i="15"/>
  <c r="W13" i="15"/>
  <c r="G13" i="15"/>
  <c r="N13" i="15"/>
  <c r="V13" i="15"/>
  <c r="H12" i="15"/>
  <c r="O12" i="15"/>
  <c r="W12" i="15"/>
  <c r="G12" i="15"/>
  <c r="N12" i="15"/>
  <c r="V12" i="15"/>
  <c r="H11" i="15"/>
  <c r="O11" i="15"/>
  <c r="W11" i="15"/>
  <c r="G11" i="15"/>
  <c r="N11" i="15"/>
  <c r="V11" i="15"/>
  <c r="H10" i="15"/>
  <c r="O10" i="15"/>
  <c r="W10" i="15"/>
  <c r="G10" i="15"/>
  <c r="N10" i="15"/>
  <c r="V10" i="15"/>
  <c r="H9" i="15"/>
  <c r="O9" i="15"/>
  <c r="W9" i="15"/>
  <c r="G9" i="15"/>
  <c r="N9" i="15"/>
  <c r="V9" i="15"/>
  <c r="H8" i="15"/>
  <c r="O8" i="15"/>
  <c r="W8" i="15"/>
  <c r="G8" i="15"/>
  <c r="N8" i="15"/>
  <c r="V8" i="15"/>
  <c r="H7" i="15"/>
  <c r="O7" i="15"/>
  <c r="W7" i="15"/>
  <c r="G7" i="15"/>
  <c r="N7" i="15"/>
  <c r="V7" i="15"/>
  <c r="H6" i="15"/>
  <c r="O6" i="15"/>
  <c r="W6" i="15"/>
  <c r="G6" i="15"/>
  <c r="N6" i="15"/>
  <c r="V6" i="15"/>
  <c r="AN69" i="12"/>
  <c r="AM69" i="12"/>
  <c r="AN64" i="12"/>
  <c r="AM63" i="12"/>
  <c r="AM64" i="12"/>
  <c r="AJ64" i="12"/>
  <c r="AN63" i="12"/>
  <c r="AN65" i="12"/>
  <c r="AM65" i="12"/>
  <c r="AK63" i="12"/>
  <c r="AK64" i="12"/>
  <c r="AK65" i="12"/>
  <c r="AJ63" i="12"/>
  <c r="AJ65" i="12"/>
  <c r="AG64" i="12"/>
  <c r="AG63" i="12"/>
  <c r="AH63" i="12"/>
  <c r="AH64" i="12"/>
  <c r="AG65" i="12"/>
  <c r="AG67" i="12"/>
  <c r="AG57" i="12"/>
  <c r="AG49" i="12"/>
  <c r="AN67" i="12"/>
  <c r="AM67" i="12"/>
  <c r="AK67" i="12"/>
  <c r="AJ67" i="12"/>
  <c r="AH65" i="12"/>
  <c r="AH67" i="12"/>
  <c r="AE67" i="12"/>
  <c r="AD67" i="12"/>
  <c r="AB64" i="12"/>
  <c r="AB63" i="12"/>
  <c r="AA64" i="12"/>
  <c r="AE63" i="12"/>
  <c r="AE64" i="12"/>
  <c r="AE65" i="12"/>
  <c r="AD64" i="12"/>
  <c r="AD63" i="12"/>
  <c r="AA63" i="12"/>
  <c r="U63" i="12"/>
  <c r="AA33" i="12"/>
  <c r="AA34" i="12"/>
  <c r="AA35" i="12"/>
  <c r="AA36" i="12"/>
  <c r="AA37" i="12"/>
  <c r="AA32" i="12"/>
  <c r="AA29" i="12"/>
  <c r="AA40" i="12"/>
  <c r="AA59" i="12"/>
  <c r="AA42" i="12"/>
  <c r="AA60" i="12"/>
  <c r="AA44" i="12"/>
  <c r="AA61" i="12"/>
  <c r="AA30" i="12"/>
  <c r="AA41" i="12"/>
  <c r="AA43" i="12"/>
  <c r="AA45" i="12"/>
  <c r="AA50" i="12"/>
  <c r="AA65" i="12"/>
  <c r="AB60" i="12"/>
  <c r="AB44" i="12"/>
  <c r="AB61" i="12"/>
  <c r="AB45" i="12"/>
  <c r="AB50" i="12"/>
  <c r="AB65" i="12"/>
  <c r="AA49" i="12"/>
  <c r="AB49" i="12"/>
  <c r="AB52" i="12"/>
  <c r="AB53" i="12"/>
  <c r="AB55" i="12"/>
  <c r="AA52" i="12"/>
  <c r="AA53" i="12"/>
  <c r="AA55" i="12"/>
  <c r="AB47" i="12"/>
  <c r="AA47" i="12"/>
  <c r="X29" i="12"/>
  <c r="Y29" i="12"/>
  <c r="AD29" i="12"/>
  <c r="AD40" i="12"/>
  <c r="AD42" i="12"/>
  <c r="AD44" i="12"/>
  <c r="X30" i="12"/>
  <c r="Y30" i="12"/>
  <c r="AD30" i="12"/>
  <c r="AD41" i="12"/>
  <c r="AD43" i="12"/>
  <c r="AD45" i="12"/>
  <c r="AD65" i="12"/>
  <c r="U65" i="12"/>
  <c r="U64" i="12"/>
  <c r="AD53" i="12"/>
  <c r="AD52" i="12"/>
  <c r="AM61" i="12"/>
  <c r="AN61" i="12"/>
  <c r="AM60" i="12"/>
  <c r="AN60" i="12"/>
  <c r="AN40" i="12"/>
  <c r="AN42" i="12"/>
  <c r="AN29" i="12"/>
  <c r="AN44" i="12"/>
  <c r="AN49" i="12"/>
  <c r="AN52" i="12"/>
  <c r="AN41" i="12"/>
  <c r="AN43" i="12"/>
  <c r="AN30" i="12"/>
  <c r="AN45" i="12"/>
  <c r="AN50" i="12"/>
  <c r="AN53" i="12"/>
  <c r="AN55" i="12"/>
  <c r="AE53" i="12"/>
  <c r="AE55" i="12"/>
  <c r="AN57" i="12"/>
  <c r="AG40" i="12"/>
  <c r="AJ40" i="12"/>
  <c r="AM40" i="12"/>
  <c r="AG42" i="12"/>
  <c r="AJ42" i="12"/>
  <c r="AM42" i="12"/>
  <c r="AG44" i="12"/>
  <c r="AJ44" i="12"/>
  <c r="AM44" i="12"/>
  <c r="AM49" i="12"/>
  <c r="AM52" i="12"/>
  <c r="AG41" i="12"/>
  <c r="AJ41" i="12"/>
  <c r="AM41" i="12"/>
  <c r="AG43" i="12"/>
  <c r="AJ43" i="12"/>
  <c r="AM43" i="12"/>
  <c r="AG45" i="12"/>
  <c r="AJ45" i="12"/>
  <c r="AM45" i="12"/>
  <c r="AM50" i="12"/>
  <c r="AM53" i="12"/>
  <c r="AM55" i="12"/>
  <c r="AD55" i="12"/>
  <c r="AM57" i="12"/>
  <c r="AN38" i="12"/>
  <c r="AM38" i="12"/>
  <c r="AN37" i="12"/>
  <c r="AM37" i="12"/>
  <c r="AN36" i="12"/>
  <c r="AM36" i="12"/>
  <c r="AN35" i="12"/>
  <c r="AM35" i="12"/>
  <c r="AN33" i="12"/>
  <c r="AM33" i="12"/>
  <c r="AN32" i="12"/>
  <c r="AM32" i="12"/>
  <c r="AN31" i="12"/>
  <c r="AM31" i="12"/>
  <c r="AG30" i="12"/>
  <c r="AJ30" i="12"/>
  <c r="AM30" i="12"/>
  <c r="AG29" i="12"/>
  <c r="AJ29" i="12"/>
  <c r="AM29" i="12"/>
  <c r="AK52" i="12"/>
  <c r="AK53" i="12"/>
  <c r="AK55" i="12"/>
  <c r="AJ52" i="12"/>
  <c r="AJ53" i="12"/>
  <c r="AJ55" i="12"/>
  <c r="AH52" i="12"/>
  <c r="AH53" i="12"/>
  <c r="AH55" i="12"/>
  <c r="AG52" i="12"/>
  <c r="AG53" i="12"/>
  <c r="AG55" i="12"/>
  <c r="AJ61" i="12"/>
  <c r="AK61" i="12"/>
  <c r="AJ60" i="12"/>
  <c r="AK60" i="12"/>
  <c r="AH61" i="12"/>
  <c r="AH60" i="12"/>
  <c r="AG61" i="12"/>
  <c r="AG60" i="12"/>
  <c r="AE52" i="12"/>
  <c r="V41" i="12"/>
  <c r="V43" i="12"/>
  <c r="V45" i="12"/>
  <c r="V53" i="12"/>
  <c r="W41" i="12"/>
  <c r="W43" i="12"/>
  <c r="W45" i="12"/>
  <c r="W53" i="12"/>
  <c r="X41" i="12"/>
  <c r="X43" i="12"/>
  <c r="X45" i="12"/>
  <c r="X53" i="12"/>
  <c r="Y41" i="12"/>
  <c r="Y43" i="12"/>
  <c r="Y45" i="12"/>
  <c r="Y53" i="12"/>
  <c r="U53" i="12"/>
  <c r="U52" i="12"/>
  <c r="Y40" i="12"/>
  <c r="Y42" i="12"/>
  <c r="Y44" i="12"/>
  <c r="Y52" i="12"/>
  <c r="V40" i="12"/>
  <c r="V42" i="12"/>
  <c r="V44" i="12"/>
  <c r="V52" i="12"/>
  <c r="W40" i="12"/>
  <c r="W42" i="12"/>
  <c r="W44" i="12"/>
  <c r="W52" i="12"/>
  <c r="X40" i="12"/>
  <c r="X42" i="12"/>
  <c r="X44" i="12"/>
  <c r="X52" i="12"/>
  <c r="AE61" i="12"/>
  <c r="AE60" i="12"/>
  <c r="AD61" i="12"/>
  <c r="AD60" i="12"/>
  <c r="AD59" i="12"/>
  <c r="AN25" i="12"/>
  <c r="AH57" i="12"/>
  <c r="AK57" i="12"/>
  <c r="AJ57" i="12"/>
  <c r="AK45" i="12"/>
  <c r="AK44" i="12"/>
  <c r="AK40" i="12"/>
  <c r="AK42" i="12"/>
  <c r="AK49" i="12"/>
  <c r="AK50" i="12"/>
  <c r="AK41" i="12"/>
  <c r="AK43" i="12"/>
  <c r="AJ49" i="12"/>
  <c r="AJ50" i="12"/>
  <c r="AK38" i="12"/>
  <c r="AJ38" i="12"/>
  <c r="AK37" i="12"/>
  <c r="AJ37" i="12"/>
  <c r="AK36" i="12"/>
  <c r="AJ36" i="12"/>
  <c r="AK35" i="12"/>
  <c r="AJ35" i="12"/>
  <c r="AK33" i="12"/>
  <c r="AJ33" i="12"/>
  <c r="AK32" i="12"/>
  <c r="AJ32" i="12"/>
  <c r="AK31" i="12"/>
  <c r="AJ31" i="12"/>
  <c r="AK30" i="12"/>
  <c r="AK29" i="12"/>
  <c r="AE45" i="12"/>
  <c r="AE44" i="12"/>
  <c r="AH44" i="12"/>
  <c r="AH45" i="12"/>
  <c r="AH29" i="12"/>
  <c r="AH30" i="12"/>
  <c r="AH31" i="12"/>
  <c r="AH32" i="12"/>
  <c r="AH33" i="12"/>
  <c r="AH35" i="12"/>
  <c r="AH36" i="12"/>
  <c r="AH37" i="12"/>
  <c r="AH38" i="12"/>
  <c r="AH40" i="12"/>
  <c r="AH41" i="12"/>
  <c r="AH42" i="12"/>
  <c r="AH43" i="12"/>
  <c r="AG31" i="12"/>
  <c r="AG32" i="12"/>
  <c r="AG33" i="12"/>
  <c r="AG35" i="12"/>
  <c r="AG36" i="12"/>
  <c r="AG37" i="12"/>
  <c r="AG38" i="12"/>
  <c r="AH50" i="12"/>
  <c r="AG50" i="12"/>
  <c r="AH49" i="12"/>
  <c r="AE50" i="12"/>
  <c r="AD50" i="12"/>
  <c r="AE49" i="12"/>
  <c r="AD49" i="12"/>
  <c r="Y55" i="12"/>
  <c r="AE47" i="12"/>
  <c r="AD47" i="12"/>
  <c r="AD33" i="12"/>
  <c r="AD37" i="12"/>
  <c r="AD36" i="12"/>
  <c r="AD32" i="12"/>
  <c r="V55" i="12"/>
  <c r="W55" i="12"/>
  <c r="X55" i="12"/>
  <c r="U55" i="12"/>
  <c r="V30" i="12"/>
  <c r="W30" i="12"/>
  <c r="V47" i="12"/>
  <c r="W47" i="12"/>
  <c r="X47" i="12"/>
  <c r="Y47" i="12"/>
  <c r="U47" i="12"/>
  <c r="U45" i="12"/>
  <c r="U44" i="12"/>
  <c r="U43" i="12"/>
  <c r="U42" i="12"/>
  <c r="U40" i="12"/>
  <c r="V37" i="12"/>
  <c r="V36" i="12"/>
  <c r="U35" i="12"/>
  <c r="U34" i="12"/>
  <c r="O40" i="12"/>
  <c r="O38" i="12"/>
  <c r="V29" i="12"/>
  <c r="U41" i="12"/>
  <c r="U30" i="12"/>
  <c r="O36" i="12"/>
  <c r="Q35" i="12"/>
  <c r="Q36" i="12"/>
  <c r="Q38" i="12"/>
  <c r="Q40" i="12"/>
  <c r="O35" i="12"/>
  <c r="Q44" i="14"/>
  <c r="Q43" i="14"/>
  <c r="Q45" i="14"/>
  <c r="Q47" i="14"/>
  <c r="O41" i="14"/>
  <c r="P41" i="14"/>
  <c r="Q41" i="14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6" i="12"/>
  <c r="T15" i="12"/>
  <c r="T6" i="12"/>
  <c r="T7" i="12"/>
  <c r="T8" i="12"/>
  <c r="T9" i="12"/>
  <c r="T10" i="12"/>
  <c r="T11" i="12"/>
  <c r="T12" i="12"/>
  <c r="T13" i="12"/>
  <c r="T14" i="12"/>
  <c r="T16" i="12"/>
  <c r="T17" i="12"/>
  <c r="T18" i="12"/>
  <c r="T19" i="12"/>
  <c r="T20" i="12"/>
  <c r="T21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C47" i="12"/>
  <c r="D50" i="12"/>
  <c r="C45" i="12"/>
  <c r="C44" i="12"/>
  <c r="I8" i="16"/>
  <c r="D9" i="16"/>
  <c r="C34" i="12"/>
  <c r="C38" i="12"/>
  <c r="C40" i="12"/>
  <c r="H9" i="16"/>
  <c r="G34" i="12"/>
  <c r="G38" i="12"/>
  <c r="E40" i="12"/>
  <c r="C41" i="12"/>
  <c r="E9" i="16"/>
  <c r="D34" i="12"/>
  <c r="D38" i="12"/>
  <c r="F9" i="16"/>
  <c r="E34" i="12"/>
  <c r="E38" i="12"/>
  <c r="G9" i="16"/>
  <c r="F34" i="12"/>
  <c r="F38" i="12"/>
  <c r="K66" i="17"/>
  <c r="G66" i="17"/>
  <c r="H66" i="17"/>
  <c r="I66" i="17"/>
  <c r="J66" i="17"/>
  <c r="F66" i="17"/>
  <c r="C62" i="17"/>
  <c r="D62" i="17"/>
  <c r="E62" i="17"/>
  <c r="F62" i="17"/>
  <c r="G62" i="17"/>
  <c r="H62" i="17"/>
  <c r="I62" i="17"/>
  <c r="J62" i="17"/>
  <c r="K62" i="17"/>
  <c r="L62" i="17"/>
  <c r="M62" i="17"/>
  <c r="B62" i="17"/>
  <c r="D31" i="12"/>
  <c r="C31" i="12"/>
  <c r="E31" i="12"/>
  <c r="F31" i="12"/>
  <c r="G31" i="12"/>
  <c r="I31" i="12"/>
  <c r="D32" i="12"/>
  <c r="E32" i="12"/>
  <c r="F32" i="12"/>
  <c r="G32" i="12"/>
  <c r="C32" i="12"/>
  <c r="K49" i="16"/>
  <c r="Y48" i="16"/>
  <c r="Y47" i="16"/>
  <c r="L47" i="16"/>
  <c r="M47" i="16"/>
  <c r="Y46" i="16"/>
  <c r="L46" i="16"/>
  <c r="M46" i="16"/>
  <c r="Y45" i="16"/>
  <c r="L45" i="16"/>
  <c r="M45" i="16"/>
  <c r="Y44" i="16"/>
  <c r="L44" i="16"/>
  <c r="M44" i="16"/>
  <c r="Y43" i="16"/>
  <c r="L43" i="16"/>
  <c r="M43" i="16"/>
  <c r="Y42" i="16"/>
  <c r="Y41" i="16"/>
  <c r="Y40" i="16"/>
  <c r="Y39" i="16"/>
  <c r="N39" i="16"/>
  <c r="Y38" i="16"/>
  <c r="N38" i="16"/>
  <c r="Y37" i="16"/>
  <c r="N37" i="16"/>
  <c r="Y36" i="16"/>
  <c r="N36" i="16"/>
  <c r="Y35" i="16"/>
  <c r="N35" i="16"/>
  <c r="Y34" i="16"/>
  <c r="N34" i="16"/>
  <c r="Y33" i="16"/>
  <c r="N33" i="16"/>
  <c r="I18" i="16"/>
  <c r="E28" i="16"/>
  <c r="E29" i="16"/>
  <c r="E33" i="16"/>
  <c r="K14" i="16"/>
  <c r="K18" i="16"/>
  <c r="K22" i="16"/>
  <c r="I14" i="16"/>
  <c r="I22" i="16"/>
  <c r="H22" i="16"/>
  <c r="G22" i="16"/>
  <c r="F22" i="16"/>
  <c r="E22" i="16"/>
  <c r="H19" i="16"/>
  <c r="H20" i="16"/>
  <c r="G19" i="16"/>
  <c r="G20" i="16"/>
  <c r="F19" i="16"/>
  <c r="F20" i="16"/>
  <c r="E19" i="16"/>
  <c r="E20" i="16"/>
  <c r="D20" i="16"/>
  <c r="L18" i="16"/>
  <c r="J18" i="16"/>
  <c r="H15" i="16"/>
  <c r="H16" i="16"/>
  <c r="G15" i="16"/>
  <c r="G16" i="16"/>
  <c r="F15" i="16"/>
  <c r="F16" i="16"/>
  <c r="E15" i="16"/>
  <c r="E16" i="16"/>
  <c r="D15" i="16"/>
  <c r="L14" i="16"/>
  <c r="J14" i="16"/>
  <c r="M8" i="16"/>
  <c r="Q3" i="16"/>
  <c r="G4" i="12"/>
  <c r="D27" i="12"/>
  <c r="E27" i="12"/>
  <c r="F27" i="12"/>
  <c r="G27" i="12"/>
  <c r="C27" i="12"/>
  <c r="C26" i="12"/>
  <c r="D26" i="12"/>
  <c r="E26" i="12"/>
  <c r="F26" i="12"/>
  <c r="G26" i="12"/>
  <c r="D25" i="12"/>
  <c r="E25" i="12"/>
  <c r="F25" i="12"/>
  <c r="G25" i="12"/>
  <c r="C25" i="12"/>
  <c r="AG48" i="14"/>
  <c r="AG47" i="14"/>
  <c r="AG46" i="14"/>
  <c r="F46" i="14"/>
  <c r="AG45" i="14"/>
  <c r="O44" i="14"/>
  <c r="O45" i="14"/>
  <c r="AG44" i="14"/>
  <c r="C22" i="14"/>
  <c r="W25" i="14"/>
  <c r="Y25" i="14"/>
  <c r="N26" i="14"/>
  <c r="W26" i="14"/>
  <c r="Y26" i="14"/>
  <c r="N27" i="14"/>
  <c r="W27" i="14"/>
  <c r="Y27" i="14"/>
  <c r="N28" i="14"/>
  <c r="W28" i="14"/>
  <c r="Y28" i="14"/>
  <c r="N29" i="14"/>
  <c r="W29" i="14"/>
  <c r="Y29" i="14"/>
  <c r="N30" i="14"/>
  <c r="W30" i="14"/>
  <c r="Y30" i="14"/>
  <c r="N31" i="14"/>
  <c r="W31" i="14"/>
  <c r="Y31" i="14"/>
  <c r="N32" i="14"/>
  <c r="W32" i="14"/>
  <c r="Y32" i="14"/>
  <c r="N33" i="14"/>
  <c r="W33" i="14"/>
  <c r="Y33" i="14"/>
  <c r="N34" i="14"/>
  <c r="W34" i="14"/>
  <c r="Y34" i="14"/>
  <c r="N35" i="14"/>
  <c r="W35" i="14"/>
  <c r="Y35" i="14"/>
  <c r="N36" i="14"/>
  <c r="W36" i="14"/>
  <c r="Y36" i="14"/>
  <c r="N37" i="14"/>
  <c r="W37" i="14"/>
  <c r="Y37" i="14"/>
  <c r="N38" i="14"/>
  <c r="W38" i="14"/>
  <c r="Y38" i="14"/>
  <c r="N39" i="14"/>
  <c r="W39" i="14"/>
  <c r="Y39" i="14"/>
  <c r="N40" i="14"/>
  <c r="W40" i="14"/>
  <c r="Y40" i="14"/>
  <c r="Y42" i="14"/>
  <c r="Y44" i="14"/>
  <c r="Z44" i="14"/>
  <c r="W43" i="14"/>
  <c r="W44" i="14"/>
  <c r="J42" i="14"/>
  <c r="I42" i="14"/>
  <c r="AD40" i="14"/>
  <c r="AE40" i="14"/>
  <c r="AF40" i="14"/>
  <c r="Z40" i="14"/>
  <c r="AA40" i="14"/>
  <c r="AB40" i="14"/>
  <c r="S40" i="14"/>
  <c r="U40" i="14"/>
  <c r="R40" i="14"/>
  <c r="T40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E40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A40" i="14"/>
  <c r="AD39" i="14"/>
  <c r="AE39" i="14"/>
  <c r="AF39" i="14"/>
  <c r="Z39" i="14"/>
  <c r="AA39" i="14"/>
  <c r="AB39" i="14"/>
  <c r="Q31" i="14"/>
  <c r="Q32" i="14"/>
  <c r="Q33" i="14"/>
  <c r="Q34" i="14"/>
  <c r="Q35" i="14"/>
  <c r="Q36" i="14"/>
  <c r="Q37" i="14"/>
  <c r="Q38" i="14"/>
  <c r="Q39" i="14"/>
  <c r="S39" i="14"/>
  <c r="U39" i="14"/>
  <c r="R39" i="14"/>
  <c r="T39" i="14"/>
  <c r="E39" i="14"/>
  <c r="A39" i="14"/>
  <c r="Z38" i="14"/>
  <c r="AA38" i="14"/>
  <c r="AB38" i="14"/>
  <c r="S38" i="14"/>
  <c r="U38" i="14"/>
  <c r="R38" i="14"/>
  <c r="T38" i="14"/>
  <c r="E38" i="14"/>
  <c r="A38" i="14"/>
  <c r="Z37" i="14"/>
  <c r="AA37" i="14"/>
  <c r="AB37" i="14"/>
  <c r="S37" i="14"/>
  <c r="U37" i="14"/>
  <c r="R37" i="14"/>
  <c r="T37" i="14"/>
  <c r="E37" i="14"/>
  <c r="A37" i="14"/>
  <c r="Z36" i="14"/>
  <c r="AA36" i="14"/>
  <c r="AB36" i="14"/>
  <c r="S36" i="14"/>
  <c r="U36" i="14"/>
  <c r="R36" i="14"/>
  <c r="T36" i="14"/>
  <c r="E36" i="14"/>
  <c r="A36" i="14"/>
  <c r="Z35" i="14"/>
  <c r="AA35" i="14"/>
  <c r="AB35" i="14"/>
  <c r="S35" i="14"/>
  <c r="U35" i="14"/>
  <c r="R35" i="14"/>
  <c r="T35" i="14"/>
  <c r="E35" i="14"/>
  <c r="A35" i="14"/>
  <c r="Z34" i="14"/>
  <c r="AA34" i="14"/>
  <c r="AB34" i="14"/>
  <c r="S34" i="14"/>
  <c r="U34" i="14"/>
  <c r="R34" i="14"/>
  <c r="T34" i="14"/>
  <c r="K32" i="14"/>
  <c r="L32" i="14"/>
  <c r="K33" i="14"/>
  <c r="K34" i="14"/>
  <c r="E34" i="14"/>
  <c r="A34" i="14"/>
  <c r="Z33" i="14"/>
  <c r="AA33" i="14"/>
  <c r="AB33" i="14"/>
  <c r="S33" i="14"/>
  <c r="U33" i="14"/>
  <c r="R33" i="14"/>
  <c r="T33" i="14"/>
  <c r="E33" i="14"/>
  <c r="A33" i="14"/>
  <c r="AD32" i="14"/>
  <c r="AE32" i="14"/>
  <c r="AF32" i="14"/>
  <c r="Z32" i="14"/>
  <c r="AA32" i="14"/>
  <c r="AB32" i="14"/>
  <c r="S32" i="14"/>
  <c r="U32" i="14"/>
  <c r="R32" i="14"/>
  <c r="T32" i="14"/>
  <c r="E32" i="14"/>
  <c r="A32" i="14"/>
  <c r="AW23" i="14"/>
  <c r="AW26" i="14"/>
  <c r="AW31" i="14"/>
  <c r="AW17" i="14"/>
  <c r="AT31" i="14"/>
  <c r="Z31" i="14"/>
  <c r="AA31" i="14"/>
  <c r="AB31" i="14"/>
  <c r="S31" i="14"/>
  <c r="U31" i="14"/>
  <c r="R31" i="14"/>
  <c r="T31" i="14"/>
  <c r="E31" i="14"/>
  <c r="A31" i="14"/>
  <c r="AT30" i="14"/>
  <c r="Z30" i="14"/>
  <c r="AA30" i="14"/>
  <c r="AB30" i="14"/>
  <c r="S30" i="14"/>
  <c r="U30" i="14"/>
  <c r="R30" i="14"/>
  <c r="T30" i="14"/>
  <c r="E30" i="14"/>
  <c r="A30" i="14"/>
  <c r="Z29" i="14"/>
  <c r="AA29" i="14"/>
  <c r="AB29" i="14"/>
  <c r="S29" i="14"/>
  <c r="U29" i="14"/>
  <c r="R29" i="14"/>
  <c r="T29" i="14"/>
  <c r="E29" i="14"/>
  <c r="A29" i="14"/>
  <c r="AX15" i="14"/>
  <c r="AX28" i="14"/>
  <c r="AW28" i="14"/>
  <c r="AT28" i="14"/>
  <c r="Z28" i="14"/>
  <c r="AA28" i="14"/>
  <c r="AB28" i="14"/>
  <c r="S28" i="14"/>
  <c r="U28" i="14"/>
  <c r="R28" i="14"/>
  <c r="T28" i="14"/>
  <c r="E28" i="14"/>
  <c r="A28" i="14"/>
  <c r="Z27" i="14"/>
  <c r="AA27" i="14"/>
  <c r="AB27" i="14"/>
  <c r="S27" i="14"/>
  <c r="U27" i="14"/>
  <c r="R27" i="14"/>
  <c r="T27" i="14"/>
  <c r="E27" i="14"/>
  <c r="A27" i="14"/>
  <c r="AT26" i="14"/>
  <c r="Z26" i="14"/>
  <c r="AA26" i="14"/>
  <c r="AB26" i="14"/>
  <c r="S26" i="14"/>
  <c r="U26" i="14"/>
  <c r="R26" i="14"/>
  <c r="T26" i="14"/>
  <c r="E26" i="14"/>
  <c r="A26" i="14"/>
  <c r="AH25" i="14"/>
  <c r="AI25" i="14"/>
  <c r="AJ25" i="14"/>
  <c r="AD25" i="14"/>
  <c r="AE25" i="14"/>
  <c r="AF25" i="14"/>
  <c r="Z25" i="14"/>
  <c r="AA25" i="14"/>
  <c r="AB25" i="14"/>
  <c r="S25" i="14"/>
  <c r="U25" i="14"/>
  <c r="R25" i="14"/>
  <c r="T25" i="14"/>
  <c r="E25" i="14"/>
  <c r="K25" i="14"/>
  <c r="A25" i="14"/>
  <c r="AW21" i="14"/>
  <c r="AW24" i="14"/>
  <c r="AT24" i="14"/>
  <c r="T24" i="14"/>
  <c r="AX21" i="14"/>
  <c r="AW19" i="14"/>
  <c r="W19" i="14"/>
  <c r="AW18" i="14"/>
  <c r="W18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G18" i="14"/>
  <c r="F18" i="14"/>
  <c r="H18" i="14"/>
  <c r="C18" i="14"/>
  <c r="B18" i="14"/>
  <c r="E18" i="14"/>
  <c r="D1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G17" i="14"/>
  <c r="F17" i="14"/>
  <c r="H17" i="14"/>
  <c r="C17" i="14"/>
  <c r="B17" i="14"/>
  <c r="E17" i="14"/>
  <c r="D17" i="14"/>
  <c r="AX16" i="14"/>
  <c r="AW16" i="14"/>
  <c r="G16" i="14"/>
  <c r="F16" i="14"/>
  <c r="H16" i="14"/>
  <c r="C16" i="14"/>
  <c r="B16" i="14"/>
  <c r="E16" i="14"/>
  <c r="D16" i="14"/>
  <c r="AW15" i="14"/>
  <c r="G15" i="14"/>
  <c r="F15" i="14"/>
  <c r="H15" i="14"/>
  <c r="C15" i="14"/>
  <c r="B15" i="14"/>
  <c r="E15" i="14"/>
  <c r="D15" i="14"/>
  <c r="G14" i="14"/>
  <c r="F14" i="14"/>
  <c r="H14" i="14"/>
  <c r="C14" i="14"/>
  <c r="B14" i="14"/>
  <c r="E14" i="14"/>
  <c r="D14" i="14"/>
  <c r="G13" i="14"/>
  <c r="F13" i="14"/>
  <c r="H13" i="14"/>
  <c r="C13" i="14"/>
  <c r="B13" i="14"/>
  <c r="E13" i="14"/>
  <c r="D13" i="14"/>
  <c r="G12" i="14"/>
  <c r="F12" i="14"/>
  <c r="H12" i="14"/>
  <c r="C12" i="14"/>
  <c r="B12" i="14"/>
  <c r="E12" i="14"/>
  <c r="D12" i="14"/>
  <c r="AD11" i="14"/>
  <c r="AB11" i="14"/>
  <c r="G11" i="14"/>
  <c r="F11" i="14"/>
  <c r="H11" i="14"/>
  <c r="C11" i="14"/>
  <c r="B11" i="14"/>
  <c r="E11" i="14"/>
  <c r="D11" i="14"/>
  <c r="J10" i="14"/>
  <c r="G10" i="14"/>
  <c r="C10" i="14"/>
  <c r="B10" i="14"/>
  <c r="E10" i="14"/>
  <c r="D10" i="14"/>
  <c r="AV9" i="14"/>
  <c r="T9" i="14"/>
  <c r="G9" i="14"/>
  <c r="F9" i="14"/>
  <c r="H9" i="14"/>
  <c r="C9" i="14"/>
  <c r="B9" i="14"/>
  <c r="E9" i="14"/>
  <c r="D9" i="14"/>
  <c r="AV8" i="14"/>
  <c r="G8" i="14"/>
  <c r="C8" i="14"/>
  <c r="B8" i="14"/>
  <c r="E8" i="14"/>
  <c r="D8" i="14"/>
  <c r="AV7" i="14"/>
  <c r="Y7" i="14"/>
  <c r="G7" i="14"/>
  <c r="C7" i="14"/>
  <c r="B7" i="14"/>
  <c r="E7" i="14"/>
  <c r="D7" i="14"/>
  <c r="AV6" i="14"/>
  <c r="Y6" i="14"/>
  <c r="G6" i="14"/>
  <c r="C6" i="14"/>
  <c r="B6" i="14"/>
  <c r="E6" i="14"/>
  <c r="D6" i="14"/>
  <c r="AM1" i="14"/>
  <c r="AM5" i="14"/>
  <c r="AN5" i="14"/>
  <c r="AO5" i="14"/>
  <c r="AP1" i="14"/>
  <c r="AP5" i="14"/>
  <c r="AV5" i="14"/>
  <c r="AL5" i="14"/>
  <c r="AK5" i="14"/>
  <c r="AJ1" i="14"/>
  <c r="AJ5" i="14"/>
  <c r="AI5" i="14"/>
  <c r="AH5" i="14"/>
  <c r="Y5" i="14"/>
  <c r="G5" i="14"/>
  <c r="C5" i="14"/>
  <c r="B5" i="14"/>
  <c r="E5" i="14"/>
  <c r="D5" i="14"/>
  <c r="Y4" i="14"/>
  <c r="G4" i="14"/>
  <c r="C4" i="14"/>
  <c r="B4" i="14"/>
  <c r="E4" i="14"/>
  <c r="D4" i="14"/>
  <c r="AF3" i="14"/>
  <c r="G3" i="14"/>
  <c r="C3" i="14"/>
  <c r="B3" i="14"/>
  <c r="E3" i="14"/>
  <c r="D3" i="14"/>
  <c r="M10" i="1"/>
  <c r="C7" i="11"/>
  <c r="C8" i="11"/>
  <c r="C9" i="11"/>
  <c r="G9" i="11"/>
  <c r="G8" i="11"/>
  <c r="G7" i="11"/>
  <c r="G6" i="11"/>
  <c r="N6" i="13"/>
  <c r="W9" i="1"/>
  <c r="AI3" i="1"/>
  <c r="AK5" i="1"/>
  <c r="AL5" i="1"/>
  <c r="AJ1" i="1"/>
  <c r="AM5" i="1"/>
  <c r="AN5" i="1"/>
  <c r="AO5" i="1"/>
  <c r="AM1" i="1"/>
  <c r="AP5" i="1"/>
  <c r="AQ5" i="1"/>
  <c r="AR5" i="1"/>
  <c r="AP1" i="1"/>
  <c r="AS5" i="1"/>
  <c r="AY5" i="1"/>
  <c r="AY6" i="1"/>
  <c r="AY7" i="1"/>
  <c r="AY8" i="1"/>
  <c r="AY9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5" i="1"/>
  <c r="AE11" i="1"/>
  <c r="AG11" i="1"/>
  <c r="AB7" i="1"/>
  <c r="AB6" i="1"/>
  <c r="AB5" i="1"/>
  <c r="AB4" i="1"/>
  <c r="T24" i="1"/>
  <c r="F21" i="13"/>
  <c r="J17" i="13"/>
  <c r="K19" i="13"/>
  <c r="K18" i="13"/>
  <c r="J19" i="13"/>
  <c r="J18" i="13"/>
  <c r="I19" i="13"/>
  <c r="H19" i="13"/>
  <c r="I18" i="13"/>
  <c r="H18" i="13"/>
  <c r="I17" i="13"/>
  <c r="H16" i="13"/>
  <c r="G16" i="13"/>
  <c r="J15" i="13"/>
  <c r="I15" i="13"/>
  <c r="H15" i="13"/>
  <c r="J11" i="13"/>
  <c r="J12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10" i="13"/>
  <c r="J10" i="13"/>
  <c r="K17" i="13"/>
  <c r="T10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17" i="13"/>
  <c r="M17" i="13"/>
  <c r="A11" i="10"/>
  <c r="B29" i="10"/>
  <c r="B7" i="10"/>
  <c r="Q7" i="10"/>
  <c r="X10" i="13"/>
  <c r="T16" i="13"/>
  <c r="S16" i="13"/>
  <c r="V16" i="13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27" i="10"/>
  <c r="AX6" i="10"/>
  <c r="AX7" i="10"/>
  <c r="AX8" i="10"/>
  <c r="AX9" i="10"/>
  <c r="AX10" i="10"/>
  <c r="AX11" i="10"/>
  <c r="AX12" i="10"/>
  <c r="AX13" i="10"/>
  <c r="AX14" i="10"/>
  <c r="AX15" i="10"/>
  <c r="AX16" i="10"/>
  <c r="AX17" i="10"/>
  <c r="AX18" i="10"/>
  <c r="AX19" i="10"/>
  <c r="AX20" i="10"/>
  <c r="AX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5" i="1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5" i="10"/>
  <c r="F46" i="1"/>
  <c r="O44" i="1"/>
  <c r="O45" i="1"/>
  <c r="I42" i="1"/>
  <c r="F1" i="10"/>
  <c r="Z82" i="10"/>
  <c r="AI86" i="10"/>
  <c r="W25" i="10"/>
  <c r="X25" i="10"/>
  <c r="AH25" i="10"/>
  <c r="W27" i="10"/>
  <c r="X27" i="10"/>
  <c r="AH26" i="10"/>
  <c r="W29" i="10"/>
  <c r="X29" i="10"/>
  <c r="AH27" i="10"/>
  <c r="F6" i="12"/>
  <c r="I4" i="12"/>
  <c r="X43" i="10"/>
  <c r="AH57" i="10"/>
  <c r="AH56" i="10"/>
  <c r="AH55" i="10"/>
  <c r="AG55" i="10"/>
  <c r="AG56" i="10"/>
  <c r="AG57" i="10"/>
  <c r="AD55" i="10"/>
  <c r="AE55" i="10"/>
  <c r="AF55" i="10"/>
  <c r="AD56" i="10"/>
  <c r="AE56" i="10"/>
  <c r="AF56" i="10"/>
  <c r="AD57" i="10"/>
  <c r="AE57" i="10"/>
  <c r="AF57" i="10"/>
  <c r="AC57" i="10"/>
  <c r="AC56" i="10"/>
  <c r="AD54" i="10"/>
  <c r="AE54" i="10"/>
  <c r="AF54" i="10"/>
  <c r="AG54" i="10"/>
  <c r="AH54" i="10"/>
  <c r="AC54" i="10"/>
  <c r="J90" i="10"/>
  <c r="K90" i="10"/>
  <c r="W69" i="10"/>
  <c r="X69" i="10"/>
  <c r="J69" i="10"/>
  <c r="K69" i="10"/>
  <c r="I90" i="10"/>
  <c r="H90" i="10"/>
  <c r="G90" i="10"/>
  <c r="F90" i="10"/>
  <c r="I69" i="10"/>
  <c r="H69" i="10"/>
  <c r="G69" i="10"/>
  <c r="F69" i="10"/>
  <c r="V69" i="10"/>
  <c r="S69" i="10"/>
  <c r="U69" i="10"/>
  <c r="T69" i="10"/>
  <c r="X39" i="10"/>
  <c r="X40" i="10"/>
  <c r="X41" i="10"/>
  <c r="X45" i="10"/>
  <c r="X46" i="10"/>
  <c r="S27" i="10"/>
  <c r="S29" i="10"/>
  <c r="S32" i="10"/>
  <c r="T25" i="10"/>
  <c r="AD25" i="10"/>
  <c r="U25" i="10"/>
  <c r="AE25" i="10"/>
  <c r="V25" i="10"/>
  <c r="AF25" i="10"/>
  <c r="AG25" i="10"/>
  <c r="S25" i="10"/>
  <c r="AC25" i="10"/>
  <c r="T27" i="10"/>
  <c r="AD26" i="10"/>
  <c r="U27" i="10"/>
  <c r="AE26" i="10"/>
  <c r="V27" i="10"/>
  <c r="AF26" i="10"/>
  <c r="AG26" i="10"/>
  <c r="T29" i="10"/>
  <c r="AD27" i="10"/>
  <c r="U29" i="10"/>
  <c r="AE27" i="10"/>
  <c r="V29" i="10"/>
  <c r="AF27" i="10"/>
  <c r="AG27" i="10"/>
  <c r="AC27" i="10"/>
  <c r="AC26" i="10"/>
  <c r="AD24" i="10"/>
  <c r="AE24" i="10"/>
  <c r="AF24" i="10"/>
  <c r="AG24" i="10"/>
  <c r="AH24" i="10"/>
  <c r="X31" i="10"/>
  <c r="X32" i="10"/>
  <c r="W26" i="10"/>
  <c r="X26" i="10"/>
  <c r="Y25" i="10"/>
  <c r="Y27" i="10"/>
  <c r="Y29" i="10"/>
  <c r="V32" i="10"/>
  <c r="V31" i="10"/>
  <c r="V39" i="10"/>
  <c r="V43" i="10"/>
  <c r="V45" i="10"/>
  <c r="V41" i="10"/>
  <c r="V46" i="10"/>
  <c r="V40" i="10"/>
  <c r="V35" i="10"/>
  <c r="T31" i="10"/>
  <c r="S31" i="10"/>
  <c r="T34" i="10"/>
  <c r="V34" i="10"/>
  <c r="V26" i="10"/>
  <c r="W32" i="10"/>
  <c r="W35" i="10"/>
  <c r="T32" i="10"/>
  <c r="T35" i="10"/>
  <c r="U32" i="10"/>
  <c r="U35" i="10"/>
  <c r="Y32" i="10"/>
  <c r="Y35" i="10"/>
  <c r="U31" i="10"/>
  <c r="U34" i="10"/>
  <c r="W31" i="10"/>
  <c r="W34" i="10"/>
  <c r="Y31" i="10"/>
  <c r="Y34" i="10"/>
  <c r="S39" i="10"/>
  <c r="S43" i="10"/>
  <c r="S45" i="10"/>
  <c r="Y41" i="10"/>
  <c r="Y43" i="10"/>
  <c r="Y46" i="10"/>
  <c r="W41" i="10"/>
  <c r="W43" i="10"/>
  <c r="W46" i="10"/>
  <c r="U41" i="10"/>
  <c r="U43" i="10"/>
  <c r="U46" i="10"/>
  <c r="T41" i="10"/>
  <c r="T43" i="10"/>
  <c r="T46" i="10"/>
  <c r="S41" i="10"/>
  <c r="S46" i="10"/>
  <c r="Y39" i="10"/>
  <c r="Y45" i="10"/>
  <c r="W39" i="10"/>
  <c r="W45" i="10"/>
  <c r="U39" i="10"/>
  <c r="U45" i="10"/>
  <c r="T39" i="10"/>
  <c r="T45" i="10"/>
  <c r="W40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27" i="10"/>
  <c r="M27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5" i="10"/>
  <c r="M5" i="10"/>
  <c r="N5" i="10"/>
  <c r="Z27" i="10"/>
  <c r="Z25" i="10"/>
  <c r="Y26" i="10"/>
  <c r="S26" i="10"/>
  <c r="Z26" i="10"/>
  <c r="Z29" i="10"/>
  <c r="Z41" i="10"/>
  <c r="Z39" i="10"/>
  <c r="Y40" i="10"/>
  <c r="S40" i="10"/>
  <c r="Z40" i="10"/>
  <c r="Z43" i="10"/>
  <c r="T40" i="10"/>
  <c r="U40" i="10"/>
  <c r="T26" i="10"/>
  <c r="U26" i="10"/>
  <c r="O42" i="10"/>
  <c r="N42" i="10"/>
  <c r="M42" i="10"/>
  <c r="O41" i="10"/>
  <c r="N41" i="10"/>
  <c r="M41" i="10"/>
  <c r="O40" i="10"/>
  <c r="N40" i="10"/>
  <c r="M40" i="10"/>
  <c r="O39" i="10"/>
  <c r="N39" i="10"/>
  <c r="M39" i="10"/>
  <c r="O38" i="10"/>
  <c r="N38" i="10"/>
  <c r="M38" i="10"/>
  <c r="O37" i="10"/>
  <c r="N37" i="10"/>
  <c r="M37" i="10"/>
  <c r="O36" i="10"/>
  <c r="N36" i="10"/>
  <c r="M36" i="10"/>
  <c r="O35" i="10"/>
  <c r="N35" i="10"/>
  <c r="M35" i="10"/>
  <c r="O34" i="10"/>
  <c r="N34" i="10"/>
  <c r="M34" i="10"/>
  <c r="O33" i="10"/>
  <c r="N33" i="10"/>
  <c r="M33" i="10"/>
  <c r="O32" i="10"/>
  <c r="N32" i="10"/>
  <c r="M32" i="10"/>
  <c r="O31" i="10"/>
  <c r="N31" i="10"/>
  <c r="M31" i="10"/>
  <c r="O30" i="10"/>
  <c r="N30" i="10"/>
  <c r="M30" i="10"/>
  <c r="O29" i="10"/>
  <c r="N29" i="10"/>
  <c r="M29" i="10"/>
  <c r="O28" i="10"/>
  <c r="N28" i="10"/>
  <c r="M28" i="10"/>
  <c r="O27" i="10"/>
  <c r="N27" i="10"/>
  <c r="P5" i="10"/>
  <c r="P20" i="10"/>
  <c r="N20" i="10"/>
  <c r="M20" i="10"/>
  <c r="P19" i="10"/>
  <c r="N19" i="10"/>
  <c r="M19" i="10"/>
  <c r="P18" i="10"/>
  <c r="N18" i="10"/>
  <c r="M18" i="10"/>
  <c r="P17" i="10"/>
  <c r="N17" i="10"/>
  <c r="M17" i="10"/>
  <c r="P16" i="10"/>
  <c r="N16" i="10"/>
  <c r="M16" i="10"/>
  <c r="P15" i="10"/>
  <c r="N15" i="10"/>
  <c r="M15" i="10"/>
  <c r="P14" i="10"/>
  <c r="N14" i="10"/>
  <c r="M14" i="10"/>
  <c r="P13" i="10"/>
  <c r="N13" i="10"/>
  <c r="M13" i="10"/>
  <c r="P12" i="10"/>
  <c r="N12" i="10"/>
  <c r="M12" i="10"/>
  <c r="P11" i="10"/>
  <c r="N11" i="10"/>
  <c r="M11" i="10"/>
  <c r="P10" i="10"/>
  <c r="N10" i="10"/>
  <c r="M10" i="10"/>
  <c r="P9" i="10"/>
  <c r="N9" i="10"/>
  <c r="M9" i="10"/>
  <c r="P8" i="10"/>
  <c r="N8" i="10"/>
  <c r="M8" i="10"/>
  <c r="P7" i="10"/>
  <c r="N7" i="10"/>
  <c r="M7" i="10"/>
  <c r="P6" i="10"/>
  <c r="N6" i="10"/>
  <c r="M6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5" i="10"/>
  <c r="Q23" i="7"/>
  <c r="P23" i="7"/>
  <c r="T18" i="7"/>
  <c r="T25" i="7"/>
  <c r="U18" i="7"/>
  <c r="U25" i="7"/>
  <c r="V18" i="7"/>
  <c r="V25" i="7"/>
  <c r="U17" i="7"/>
  <c r="U24" i="7"/>
  <c r="V17" i="7"/>
  <c r="V24" i="7"/>
  <c r="T17" i="7"/>
  <c r="T24" i="7"/>
  <c r="U20" i="7"/>
  <c r="T20" i="7"/>
  <c r="G9" i="7"/>
  <c r="AD32" i="1"/>
  <c r="AE32" i="1"/>
  <c r="AF32" i="1"/>
  <c r="AH25" i="1"/>
  <c r="AI25" i="1"/>
  <c r="AJ25" i="1"/>
  <c r="W44" i="1"/>
  <c r="AD25" i="1"/>
  <c r="AE25" i="1"/>
  <c r="AF25" i="1"/>
  <c r="AD40" i="1"/>
  <c r="AE40" i="1"/>
  <c r="AF40" i="1"/>
  <c r="AD39" i="1"/>
  <c r="AE39" i="1"/>
  <c r="AF39" i="1"/>
  <c r="R13" i="4"/>
  <c r="R11" i="4"/>
  <c r="R10" i="4"/>
  <c r="N5" i="2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11" i="9"/>
  <c r="D8" i="9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K10" i="8"/>
  <c r="K11" i="8"/>
  <c r="K9" i="8"/>
  <c r="I11" i="8"/>
  <c r="I10" i="8"/>
  <c r="I9" i="8"/>
  <c r="F22" i="8"/>
  <c r="F13" i="8"/>
  <c r="AV27" i="3"/>
  <c r="AW27" i="3"/>
  <c r="AX27" i="3"/>
  <c r="AV25" i="3"/>
  <c r="AW23" i="1"/>
  <c r="AW26" i="1"/>
  <c r="AW31" i="1"/>
  <c r="AZ17" i="1"/>
  <c r="AT31" i="1"/>
  <c r="AT30" i="1"/>
  <c r="BA15" i="1"/>
  <c r="AX28" i="1"/>
  <c r="AW28" i="1"/>
  <c r="AT28" i="1"/>
  <c r="AW21" i="1"/>
  <c r="AT26" i="1"/>
  <c r="AT24" i="1"/>
  <c r="AW24" i="1"/>
  <c r="AX21" i="1"/>
  <c r="BA16" i="1"/>
  <c r="AZ16" i="1"/>
  <c r="AZ18" i="1"/>
  <c r="AW19" i="1"/>
  <c r="AZ1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25" i="1"/>
  <c r="AA25" i="1"/>
  <c r="AB25" i="1"/>
  <c r="AG45" i="1"/>
  <c r="AG46" i="1"/>
  <c r="AG47" i="1"/>
  <c r="AG48" i="1"/>
  <c r="AG44" i="1"/>
  <c r="Y44" i="1"/>
  <c r="Z44" i="1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8" i="3"/>
  <c r="AV8" i="3"/>
  <c r="AW25" i="3"/>
  <c r="AX25" i="3"/>
  <c r="AV23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8" i="3"/>
  <c r="AV9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10" i="3"/>
  <c r="D42" i="4"/>
  <c r="AO84" i="3"/>
  <c r="AN84" i="3"/>
  <c r="AM84" i="3"/>
  <c r="AL84" i="3"/>
  <c r="AJ84" i="3"/>
  <c r="AI84" i="3"/>
  <c r="AH84" i="3"/>
  <c r="AG84" i="3"/>
  <c r="AF84" i="3"/>
  <c r="AD84" i="3"/>
  <c r="AC84" i="3"/>
  <c r="AB84" i="3"/>
  <c r="AA84" i="3"/>
  <c r="Z84" i="3"/>
  <c r="X84" i="3"/>
  <c r="W84" i="3"/>
  <c r="V84" i="3"/>
  <c r="U84" i="3"/>
  <c r="T84" i="3"/>
  <c r="R84" i="3"/>
  <c r="Q84" i="3"/>
  <c r="P84" i="3"/>
  <c r="O84" i="3"/>
  <c r="N84" i="3"/>
  <c r="L84" i="3"/>
  <c r="K84" i="3"/>
  <c r="J84" i="3"/>
  <c r="I84" i="3"/>
  <c r="H84" i="3"/>
  <c r="F84" i="3"/>
  <c r="E84" i="3"/>
  <c r="D84" i="3"/>
  <c r="C84" i="3"/>
  <c r="B84" i="3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I6" i="2"/>
  <c r="AH28" i="2"/>
  <c r="AC28" i="2"/>
  <c r="X28" i="2"/>
  <c r="D9" i="2"/>
  <c r="AH27" i="2"/>
  <c r="AC27" i="2"/>
  <c r="X27" i="2"/>
  <c r="AH26" i="2"/>
  <c r="AC26" i="2"/>
  <c r="X26" i="2"/>
  <c r="AH25" i="2"/>
  <c r="AC25" i="2"/>
  <c r="X25" i="2"/>
  <c r="AH24" i="2"/>
  <c r="AC24" i="2"/>
  <c r="X24" i="2"/>
  <c r="AH23" i="2"/>
  <c r="AC23" i="2"/>
  <c r="X23" i="2"/>
  <c r="AH22" i="2"/>
  <c r="AC22" i="2"/>
  <c r="X22" i="2"/>
  <c r="AH21" i="2"/>
  <c r="AC21" i="2"/>
  <c r="X21" i="2"/>
  <c r="AH20" i="2"/>
  <c r="AC20" i="2"/>
  <c r="X20" i="2"/>
  <c r="AH19" i="2"/>
  <c r="AC19" i="2"/>
  <c r="X19" i="2"/>
  <c r="AH18" i="2"/>
  <c r="AC18" i="2"/>
  <c r="X18" i="2"/>
  <c r="AH17" i="2"/>
  <c r="AC17" i="2"/>
  <c r="X17" i="2"/>
  <c r="AH16" i="2"/>
  <c r="AC16" i="2"/>
  <c r="X16" i="2"/>
  <c r="AH15" i="2"/>
  <c r="AC15" i="2"/>
  <c r="X15" i="2"/>
  <c r="AH14" i="2"/>
  <c r="AC14" i="2"/>
  <c r="X14" i="2"/>
  <c r="AH13" i="2"/>
  <c r="AC13" i="2"/>
  <c r="X13" i="2"/>
  <c r="AH12" i="2"/>
  <c r="AC12" i="2"/>
  <c r="X12" i="2"/>
  <c r="J6" i="2"/>
  <c r="G6" i="2"/>
  <c r="H6" i="2"/>
  <c r="J5" i="2"/>
  <c r="G5" i="2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J42" i="1"/>
  <c r="W19" i="1"/>
  <c r="Z1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J22" i="16"/>
  <c r="D40" i="12"/>
  <c r="U25" i="1"/>
</calcChain>
</file>

<file path=xl/comments1.xml><?xml version="1.0" encoding="utf-8"?>
<comments xmlns="http://schemas.openxmlformats.org/spreadsheetml/2006/main">
  <authors>
    <author>Microsoft Office User</author>
  </authors>
  <commentList>
    <comment ref="I6" authorId="0">
      <text>
        <r>
          <rPr>
            <b/>
            <sz val="10"/>
            <color indexed="81"/>
            <rFont val="Calibri"/>
          </rPr>
          <t>Shuba:
ssuming townhouse..i guess.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8" authorId="0">
      <text>
        <r>
          <rPr>
            <b/>
            <sz val="10"/>
            <color indexed="81"/>
            <rFont val="Calibri"/>
          </rPr>
          <t>Shuba:</t>
        </r>
        <r>
          <rPr>
            <sz val="10"/>
            <color indexed="81"/>
            <rFont val="Calibri"/>
          </rPr>
          <t xml:space="preserve">
HDD and CDD are closer LAX…by PGE doc. Similar to Janet Reyna as well</t>
        </r>
      </text>
    </comment>
    <comment ref="F9" authorId="0">
      <text>
        <r>
          <rPr>
            <b/>
            <sz val="10"/>
            <color indexed="81"/>
            <rFont val="Calibri"/>
          </rPr>
          <t>Shuba: changed to San Diego CDD.</t>
        </r>
        <r>
          <rPr>
            <sz val="10"/>
            <color indexed="81"/>
            <rFont val="Calibri"/>
          </rPr>
          <t xml:space="preserve">
</t>
        </r>
      </text>
    </comment>
    <comment ref="F11" authorId="0">
      <text>
        <r>
          <rPr>
            <sz val="10"/>
            <color indexed="81"/>
            <rFont val="Calibri"/>
          </rPr>
          <t xml:space="preserve">Shuba: LA Civic center
</t>
        </r>
      </text>
    </comment>
    <comment ref="F14" authorId="0">
      <text>
        <r>
          <rPr>
            <b/>
            <sz val="10"/>
            <color indexed="81"/>
            <rFont val="Calibri"/>
          </rPr>
          <t>Shuba: Stockton cdd and hdd from pge doc</t>
        </r>
        <r>
          <rPr>
            <sz val="10"/>
            <color indexed="81"/>
            <rFont val="Calibri"/>
          </rPr>
          <t xml:space="preserve">
</t>
        </r>
      </text>
    </comment>
    <comment ref="F16" authorId="0">
      <text>
        <r>
          <rPr>
            <b/>
            <sz val="10"/>
            <color indexed="81"/>
            <rFont val="Calibri"/>
          </rPr>
          <t>Shuba:</t>
        </r>
        <r>
          <rPr>
            <sz val="10"/>
            <color indexed="81"/>
            <rFont val="Calibri"/>
          </rPr>
          <t xml:space="preserve">
 Palmdale in CZ 14 by pge ..matches exactly janet Reyna's assumption
</t>
        </r>
      </text>
    </comment>
    <comment ref="F18" authorId="0">
      <text>
        <r>
          <rPr>
            <b/>
            <sz val="10"/>
            <color indexed="81"/>
            <rFont val="Calibri"/>
          </rPr>
          <t>Shuba: Used HDD and CDD of Bishop from pge doc matches Janet Rayna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Shuba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Shuba: 
Contents: "..</t>
        </r>
        <r>
          <rPr>
            <sz val="9"/>
            <color indexed="81"/>
            <rFont val="Tahoma"/>
            <family val="2"/>
          </rPr>
          <t xml:space="preserve">
This report provides the revised population and housing estimates for January 1, 2011-2014 and provisional population and housing estimates for January 1, 2015 for the state, counties, and cities. These population estimates incorporate 2010 census counts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Shuba:</t>
        </r>
        <r>
          <rPr>
            <sz val="9"/>
            <color indexed="81"/>
            <rFont val="Tahoma"/>
            <family val="2"/>
          </rPr>
          <t xml:space="preserve">
Table 1: E-5 County/State Population and Housing Estimates,  from Dof.ca.gov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Y8" authorId="0">
      <text>
        <r>
          <rPr>
            <b/>
            <sz val="10"/>
            <color indexed="81"/>
            <rFont val="Calibri"/>
          </rPr>
          <t xml:space="preserve">Shuba: Avg across diff duct types for Los Angeles and SF in ref above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<sst xmlns="http://schemas.openxmlformats.org/spreadsheetml/2006/main" count="1513" uniqueCount="816">
  <si>
    <t>Fahrenheit</t>
  </si>
  <si>
    <t>Fahr</t>
  </si>
  <si>
    <t>centrigrade</t>
  </si>
  <si>
    <t>Centigrade</t>
  </si>
  <si>
    <t>Climate Zone</t>
  </si>
  <si>
    <t>HDD (2010-2020)</t>
  </si>
  <si>
    <t>HDD (2045-2055)</t>
  </si>
  <si>
    <t>ANNUAL CHANGE</t>
  </si>
  <si>
    <t>CDD (2010-2020)</t>
  </si>
  <si>
    <t>CDD (2045-2055)</t>
  </si>
  <si>
    <t>Zone</t>
  </si>
  <si>
    <t>this varies with CZ over period till 2050.</t>
  </si>
  <si>
    <t>SF</t>
  </si>
  <si>
    <t>need to map county to climate zone and use % projections</t>
  </si>
  <si>
    <t>NG</t>
  </si>
  <si>
    <t>SFNG</t>
  </si>
  <si>
    <t>SFER</t>
  </si>
  <si>
    <t>SFNGCool</t>
  </si>
  <si>
    <t>SFERCool</t>
  </si>
  <si>
    <t>CZ</t>
  </si>
  <si>
    <t>Population/CZ(%)</t>
  </si>
  <si>
    <t>ann pop growth%</t>
  </si>
  <si>
    <t>OCCupied HH(2016)</t>
  </si>
  <si>
    <t>U-value of window</t>
  </si>
  <si>
    <t>U-value of Wall (R-13)</t>
  </si>
  <si>
    <t>U-value of roof (R-19)</t>
  </si>
  <si>
    <t>Elec</t>
  </si>
  <si>
    <t>should change the above by CZ</t>
  </si>
  <si>
    <t>All in green - are assumptions</t>
  </si>
  <si>
    <t>pages 255 and 256 have by cz and material..etc</t>
  </si>
  <si>
    <t>and are read into the model - please don't edit anything in this sheet</t>
  </si>
  <si>
    <t>R-values for walls and roofs as in Page 233 given for low rise residential bulldings</t>
  </si>
  <si>
    <t>http://www.energy.ca.gov/2015publications/CEC-400-2015-037/CEC-400-2015-037-CMF.pdf</t>
  </si>
  <si>
    <t>assuming wood frame and other for wall</t>
  </si>
  <si>
    <t>wood frame and other for roof as well for all climate zone</t>
  </si>
  <si>
    <t>window share of wall area (%)</t>
  </si>
  <si>
    <t>Exposed Wall area including window (sf)</t>
  </si>
  <si>
    <t>window (sf)</t>
  </si>
  <si>
    <t>Roof (sf)</t>
  </si>
  <si>
    <t>Implied carpet area (sf)</t>
  </si>
  <si>
    <t>Population (million)</t>
  </si>
  <si>
    <t>MF</t>
  </si>
  <si>
    <t>HH (million)</t>
  </si>
  <si>
    <t>Unoccupied (%)</t>
  </si>
  <si>
    <t>Stock average in 2016</t>
  </si>
  <si>
    <t>Occupied HH</t>
  </si>
  <si>
    <t>Single Fam</t>
  </si>
  <si>
    <t>Attached/TownHouse/Duplex</t>
  </si>
  <si>
    <t>2-4 apts</t>
  </si>
  <si>
    <t>5+apts</t>
  </si>
  <si>
    <t>Share of housing by housing type (This is available by county).so far</t>
  </si>
  <si>
    <t>Annual Growth (2016-2050) by housing type</t>
  </si>
  <si>
    <t xml:space="preserve">Climate Zone </t>
  </si>
  <si>
    <t>Population (%) 2016</t>
  </si>
  <si>
    <t>Total occupied HH (millions)</t>
  </si>
  <si>
    <t xml:space="preserve">SF </t>
  </si>
  <si>
    <t>Attached/Townhouse</t>
  </si>
  <si>
    <t>Climate Zones</t>
  </si>
  <si>
    <t>Roof surface area(R-val)</t>
  </si>
  <si>
    <t>Exposed wall (R-val)</t>
  </si>
  <si>
    <t>Windows (R-val)</t>
  </si>
  <si>
    <t>Stock average in 2050</t>
  </si>
  <si>
    <t>Heat/Cool saturation NO Change</t>
  </si>
  <si>
    <t>MFNG</t>
  </si>
  <si>
    <t>MFER</t>
  </si>
  <si>
    <t>MFNGCool</t>
  </si>
  <si>
    <t>MFERCool</t>
  </si>
  <si>
    <t>NG Demand</t>
  </si>
  <si>
    <t>Elec Demand</t>
  </si>
  <si>
    <t>Heat Demand</t>
  </si>
  <si>
    <t>Cool Demand</t>
  </si>
  <si>
    <t>Total</t>
  </si>
  <si>
    <t>Annual Growth (currently place Holder)</t>
  </si>
  <si>
    <t>The bottom is a place holder should be changed</t>
  </si>
  <si>
    <t>Ideally need some kind of weighted avg. u-val of exisitng homes</t>
  </si>
  <si>
    <t>Pop WithHeating in 2050 (%)</t>
  </si>
  <si>
    <t>Pop with Cooling in 2050</t>
  </si>
  <si>
    <t>Pop Of CZ with Cooling in 2016(%)</t>
  </si>
  <si>
    <t>Pop of CZ in 2060 (with Heat %)</t>
  </si>
  <si>
    <t>Place holder for code checking…have to use RASS for 2016</t>
  </si>
  <si>
    <t>NGH</t>
  </si>
  <si>
    <t>ERH</t>
  </si>
  <si>
    <t>Cond</t>
  </si>
  <si>
    <t>HPH</t>
  </si>
  <si>
    <t>Nomenclature</t>
  </si>
  <si>
    <t>Cooler</t>
  </si>
  <si>
    <t>NG based heater</t>
  </si>
  <si>
    <t>Elec Resistance heater</t>
  </si>
  <si>
    <t>HP based space heater</t>
  </si>
  <si>
    <t xml:space="preserve">A/C </t>
  </si>
  <si>
    <t>HP based heater/cooler</t>
  </si>
  <si>
    <t>Currently this is assumed</t>
  </si>
  <si>
    <t>to be essentially same as HP</t>
  </si>
  <si>
    <t>Exisitng stock Avg. EF</t>
  </si>
  <si>
    <t>Existing Homes</t>
  </si>
  <si>
    <t>Cooling-No</t>
  </si>
  <si>
    <t>Heat</t>
  </si>
  <si>
    <t>None</t>
  </si>
  <si>
    <t>Elec A.C</t>
  </si>
  <si>
    <t>Elec Resis</t>
  </si>
  <si>
    <t>Elec AC</t>
  </si>
  <si>
    <t>Ditto as above but</t>
  </si>
  <si>
    <t>can be differnet</t>
  </si>
  <si>
    <t>Cool</t>
  </si>
  <si>
    <t>no cond</t>
  </si>
  <si>
    <t>HP Heater</t>
  </si>
  <si>
    <t>Fuel</t>
  </si>
  <si>
    <t xml:space="preserve">NG </t>
  </si>
  <si>
    <t>Sample stockturnover pathway  ------&gt;</t>
  </si>
  <si>
    <t>No of devices per house</t>
  </si>
  <si>
    <t>ER</t>
  </si>
  <si>
    <t>AC</t>
  </si>
  <si>
    <t>HP Conditioner</t>
  </si>
  <si>
    <t>HPCond</t>
  </si>
  <si>
    <t>HP Cond</t>
  </si>
  <si>
    <t>HP Cond (which will trigger killing NGHeater)</t>
  </si>
  <si>
    <t>While everyone has migrated to HP based systems</t>
  </si>
  <si>
    <t>some might continue to have no air conditioning</t>
  </si>
  <si>
    <t>As years progres</t>
  </si>
  <si>
    <t>efficiency improves</t>
  </si>
  <si>
    <t>and for HP refrigerant GWP drops</t>
  </si>
  <si>
    <t>LOOK AT NEXT TAB for a sample turnover…</t>
  </si>
  <si>
    <t>and energy consumption</t>
  </si>
  <si>
    <t xml:space="preserve">NG, elec demands are given </t>
  </si>
  <si>
    <t>similarly heating and cooling energy demands are separated</t>
  </si>
  <si>
    <t xml:space="preserve">Appliance EF held constant over years </t>
  </si>
  <si>
    <t>HDD/CDD Held fixed over years</t>
  </si>
  <si>
    <t xml:space="preserve">    AnnualHeatDemand (BTU)=    AnnualHeatRequired/heaterEF</t>
  </si>
  <si>
    <t>Annual heating demand for a SF</t>
  </si>
  <si>
    <t xml:space="preserve">    AnnualHeatRequired (BTU) =     HeatLoss1 + HeatLoss2  +HeatLoss0 #+HeatLoss3</t>
  </si>
  <si>
    <t xml:space="preserve"> HeatLoss0  (BTU)=     (HDD *24.0 *windowArea)/Rval0                       #window   surface area..Rval0 is the Rvalue of window</t>
  </si>
  <si>
    <t xml:space="preserve">    HeatLoss1 (BTU)=     (HDD *24.0 * size1) /(Rval1)                 # size1 is the surface area of walls , Rval1 is Rval of walls</t>
  </si>
  <si>
    <t xml:space="preserve">    HeatLoss2 (BTU)     = (HDD *24.0 * size2) /(Rval2)           # size2 is the surface of Roof, Rval2 is the Rval of roof</t>
  </si>
  <si>
    <t xml:space="preserve">Annual Heat demand in kWh </t>
  </si>
  <si>
    <t>=AnnualHeatDemand(BTU)/3412.14</t>
  </si>
  <si>
    <t>Prop_LT = 22</t>
  </si>
  <si>
    <t>NG_LT = 21</t>
  </si>
  <si>
    <t>ING_LT =22</t>
  </si>
  <si>
    <t>EL_LT = 21</t>
  </si>
  <si>
    <t>HP_LT =21</t>
  </si>
  <si>
    <t>AdvHP_LT =22</t>
  </si>
  <si>
    <t>ST_LT = 25</t>
  </si>
  <si>
    <t>AC_LT = 21  #Cooler lifetime</t>
  </si>
  <si>
    <t>#==============================================================================</t>
  </si>
  <si>
    <t>look below for EF assumptions</t>
  </si>
  <si>
    <t>LifeTime</t>
  </si>
  <si>
    <t>heat pumps</t>
  </si>
  <si>
    <t>A/C</t>
  </si>
  <si>
    <t>HP Conditioner (Combo)</t>
  </si>
  <si>
    <t>At the moment assuming</t>
  </si>
  <si>
    <t>heating and cooling same EF for the results here</t>
  </si>
  <si>
    <t xml:space="preserve"> Weighted avg of exisitng stock (placeholder for now)</t>
  </si>
  <si>
    <t>E0_EF</t>
  </si>
  <si>
    <t>E1_EF</t>
  </si>
  <si>
    <t>HP2_EF</t>
  </si>
  <si>
    <t>HP1_EF</t>
  </si>
  <si>
    <t>HP3_EF</t>
  </si>
  <si>
    <t xml:space="preserve">AC0_EF </t>
  </si>
  <si>
    <t>#weighted avg. efficicency of exisitng stock</t>
  </si>
  <si>
    <t># Existing wted avg</t>
  </si>
  <si>
    <t xml:space="preserve"> #Existing wted avg</t>
  </si>
  <si>
    <t>HAS TO CHANGE</t>
  </si>
  <si>
    <t>Also make more sense breaking energy usage into 4 seasons……-doable…..we need HDD/CDD by season for each Climate zone</t>
  </si>
  <si>
    <r>
      <rPr>
        <b/>
        <sz val="12"/>
        <color theme="1"/>
        <rFont val="Calibri"/>
        <family val="2"/>
        <scheme val="minor"/>
      </rPr>
      <t>Dan J…</t>
    </r>
    <r>
      <rPr>
        <sz val="12"/>
        <color theme="1"/>
        <rFont val="Calibri"/>
        <family val="2"/>
        <scheme val="minor"/>
      </rPr>
      <t>would you have this?</t>
    </r>
  </si>
  <si>
    <r>
      <t xml:space="preserve">All energy consumption given below are in </t>
    </r>
    <r>
      <rPr>
        <b/>
        <sz val="12"/>
        <color rgb="FFC00000"/>
        <rFont val="Calibri (Body)"/>
      </rPr>
      <t>MWh</t>
    </r>
  </si>
  <si>
    <r>
      <rPr>
        <b/>
        <sz val="14"/>
        <color rgb="FFC00000"/>
        <rFont val="Calibri (Body)"/>
      </rPr>
      <t>1 house per housetype</t>
    </r>
    <r>
      <rPr>
        <b/>
        <sz val="14"/>
        <color theme="1"/>
        <rFont val="Calibri"/>
        <family val="2"/>
        <scheme val="minor"/>
      </rPr>
      <t xml:space="preserve"> in each CZ</t>
    </r>
  </si>
  <si>
    <t>Apt 2-4</t>
  </si>
  <si>
    <t>Apt 5 +</t>
  </si>
  <si>
    <t>Would like to</t>
  </si>
  <si>
    <t xml:space="preserve">add these two </t>
  </si>
  <si>
    <t>categories</t>
  </si>
  <si>
    <t>later</t>
  </si>
  <si>
    <t xml:space="preserve"> </t>
  </si>
  <si>
    <t>SF NG</t>
  </si>
  <si>
    <t>SF ER</t>
  </si>
  <si>
    <t>(therms)</t>
  </si>
  <si>
    <t>(Elec)</t>
  </si>
  <si>
    <t>SF_AC</t>
  </si>
  <si>
    <t>NG0_E</t>
  </si>
  <si>
    <t xml:space="preserve">NG2_EF </t>
  </si>
  <si>
    <t xml:space="preserve">NG3_EF </t>
  </si>
  <si>
    <t>#HHs</t>
  </si>
  <si>
    <t>population(millions)</t>
  </si>
  <si>
    <t>devices</t>
  </si>
  <si>
    <t>,12</t>
  </si>
  <si>
    <t>HP</t>
  </si>
  <si>
    <t>4 NG</t>
  </si>
  <si>
    <t>MMBTU</t>
  </si>
  <si>
    <t>https://www.pge.com/includes/docs/pdfs/about/edusafety/training/pec/toolbox/arch/climate/california_climate_zones_01-16.pdf</t>
  </si>
  <si>
    <t>CZ3</t>
  </si>
  <si>
    <t xml:space="preserve">base for heatign </t>
  </si>
  <si>
    <t xml:space="preserve">base for cooling </t>
  </si>
  <si>
    <t>feb</t>
  </si>
  <si>
    <t>Dec</t>
  </si>
  <si>
    <t xml:space="preserve">Nov </t>
  </si>
  <si>
    <t xml:space="preserve">jan </t>
  </si>
  <si>
    <t>march</t>
  </si>
  <si>
    <t>april</t>
  </si>
  <si>
    <t>may</t>
  </si>
  <si>
    <t xml:space="preserve">june </t>
  </si>
  <si>
    <t>oct</t>
  </si>
  <si>
    <t>july</t>
  </si>
  <si>
    <t>aug</t>
  </si>
  <si>
    <t>sept</t>
  </si>
  <si>
    <t>winter</t>
  </si>
  <si>
    <t>spring</t>
  </si>
  <si>
    <t>nov-feb</t>
  </si>
  <si>
    <t>march - june</t>
  </si>
  <si>
    <t>summer/fall</t>
  </si>
  <si>
    <t>july-aug</t>
  </si>
  <si>
    <t>HDD</t>
  </si>
  <si>
    <t>EER</t>
  </si>
  <si>
    <t>Cooling</t>
  </si>
  <si>
    <t>EF</t>
  </si>
  <si>
    <t>U-value of Wall (R-19)</t>
  </si>
  <si>
    <t>U-value of roof (R-22)</t>
  </si>
  <si>
    <t>HSPF</t>
  </si>
  <si>
    <t>SEER</t>
  </si>
  <si>
    <t>AR HP</t>
  </si>
  <si>
    <t>Air-cond</t>
  </si>
  <si>
    <t>Gas-fired furnace</t>
  </si>
  <si>
    <t>AFUE</t>
  </si>
  <si>
    <t xml:space="preserve">to </t>
  </si>
  <si>
    <t>elec</t>
  </si>
  <si>
    <t>conversion</t>
  </si>
  <si>
    <t>Capital Cost</t>
  </si>
  <si>
    <t>LifeTIme</t>
  </si>
  <si>
    <t>NG based furnace</t>
  </si>
  <si>
    <t>Installation Cost</t>
  </si>
  <si>
    <t>Annual O&amp;M</t>
  </si>
  <si>
    <t>EF wted avg current stock (2018)</t>
  </si>
  <si>
    <t>EF new installs (2018)</t>
  </si>
  <si>
    <t>EF 2025</t>
  </si>
  <si>
    <t>EF  2035</t>
  </si>
  <si>
    <t>https://www.eia.gov/analysis/studies/buildings/equipcosts/pdf/appendix-b.pdf</t>
  </si>
  <si>
    <t>First connection $/ SF Household</t>
  </si>
  <si>
    <t>Typical input capacity (kBtu/hr)</t>
  </si>
  <si>
    <t>North America specs - as against south US specs which is for hot and humid</t>
  </si>
  <si>
    <t>SEER to EF conversion factor</t>
  </si>
  <si>
    <t>values are of 36 kBTU/h (3-ton)</t>
  </si>
  <si>
    <t xml:space="preserve"> costs fre for coil-only system,,they do not include a blower</t>
  </si>
  <si>
    <t>~18</t>
  </si>
  <si>
    <t>heating EF</t>
  </si>
  <si>
    <t>Cooling EF</t>
  </si>
  <si>
    <t>Elec Resistance furnace</t>
  </si>
  <si>
    <t>Air source Elec HP</t>
  </si>
  <si>
    <t>Central A/C</t>
  </si>
  <si>
    <t>Air Source Elec HP based heater/cooler</t>
  </si>
  <si>
    <t>Fuel Switching Cost*</t>
  </si>
  <si>
    <t>*</t>
  </si>
  <si>
    <t>assuming fuel switching happens only from NG to electric appliance. And HP will be chosen as a repalcement for NG furnace</t>
  </si>
  <si>
    <t>or HP Conditioner (if cooling is also required)</t>
  </si>
  <si>
    <t>Aux. electricity consumed by blower (kWh/hr) energy consumed</t>
  </si>
  <si>
    <t>https://aceee.org/files/proceedings/2008/data/papers/2_484.pdf</t>
  </si>
  <si>
    <t>**</t>
  </si>
  <si>
    <t>Elec usage by NG furnace reference: Franco, Viktor, Lutz J., and Lekov A., Gu, L. "furnace blower electricity: National and Regional Savings Potential", 2008 ACEEE summer study on Energy Efficiency in Buildings</t>
  </si>
  <si>
    <t>Agg EE Imp</t>
  </si>
  <si>
    <t>Mod EE Imp</t>
  </si>
  <si>
    <t>Heat Pump based space heating</t>
  </si>
  <si>
    <t>With CC (Agg EE Imp)</t>
  </si>
  <si>
    <t>Natural gas based space heating</t>
  </si>
  <si>
    <t xml:space="preserve">Space Cooling </t>
  </si>
  <si>
    <t>#HHs w. Heating</t>
  </si>
  <si>
    <t>#HHs w. Cooling</t>
  </si>
  <si>
    <t>State</t>
  </si>
  <si>
    <t xml:space="preserve">Wted Avg SF </t>
  </si>
  <si>
    <t>HP Heating (kWh)</t>
  </si>
  <si>
    <t>NG Heating(kWh)</t>
  </si>
  <si>
    <t>NG Heating (Therms)</t>
  </si>
  <si>
    <t>HP  Heating (GWh)</t>
  </si>
  <si>
    <t>Cooling (GWh)</t>
  </si>
  <si>
    <t>NG based Heating (GWh)</t>
  </si>
  <si>
    <t>NG (MM therms)</t>
  </si>
  <si>
    <t>With CC(Mod EE Imp)</t>
  </si>
  <si>
    <t>NG+ElecCooling</t>
  </si>
  <si>
    <t>HP+ElecCooling</t>
  </si>
  <si>
    <t>With CC (No EE Imp)</t>
  </si>
  <si>
    <t>NG Heat</t>
  </si>
  <si>
    <t>HP Heat</t>
  </si>
  <si>
    <t>Agg EE</t>
  </si>
  <si>
    <t>Mod EE</t>
  </si>
  <si>
    <t>WithCC(ModEE)+30% Add Cool</t>
  </si>
  <si>
    <t>Current</t>
  </si>
  <si>
    <t>Current Demand</t>
  </si>
  <si>
    <t>HP GHG Heating</t>
  </si>
  <si>
    <t>Tons</t>
  </si>
  <si>
    <t>Grid is decarbonizing to meet AB 32</t>
  </si>
  <si>
    <t>HistorCurrentical</t>
  </si>
  <si>
    <t>Planning_area_abbrev</t>
  </si>
  <si>
    <t>End_use_abbreviation</t>
  </si>
  <si>
    <t>year</t>
  </si>
  <si>
    <t>MM_Therms</t>
  </si>
  <si>
    <t>PGE</t>
  </si>
  <si>
    <t>Central Space Heating</t>
  </si>
  <si>
    <t>SMUD</t>
  </si>
  <si>
    <t>SCE</t>
  </si>
  <si>
    <t>LADWP</t>
  </si>
  <si>
    <t>SDGE</t>
  </si>
  <si>
    <t>IID</t>
  </si>
  <si>
    <t>BUGL</t>
  </si>
  <si>
    <t>PASD</t>
  </si>
  <si>
    <t>AggEE</t>
  </si>
  <si>
    <t>NG (EF)</t>
  </si>
  <si>
    <t>HP (EF)</t>
  </si>
  <si>
    <t>Cooling (EF)</t>
  </si>
  <si>
    <t>Current (2019)</t>
  </si>
  <si>
    <t>Below ~2050</t>
  </si>
  <si>
    <t>No EE (With CC)</t>
  </si>
  <si>
    <t>Mod EE (With CC)</t>
  </si>
  <si>
    <t>Agg EE (With CC)</t>
  </si>
  <si>
    <t>Share of SF Homes</t>
  </si>
  <si>
    <t>SF Homes with Heating</t>
  </si>
  <si>
    <t>SF Homes with Cooling</t>
  </si>
  <si>
    <t>Statewide average</t>
  </si>
  <si>
    <t>Change in HDD</t>
  </si>
  <si>
    <t>Change in CDD</t>
  </si>
  <si>
    <t>With CC ~2050</t>
  </si>
  <si>
    <t>depends on Climate zone</t>
  </si>
  <si>
    <t>~2050</t>
  </si>
  <si>
    <t>GHG Emissions</t>
  </si>
  <si>
    <t>NG (kg/therm)</t>
  </si>
  <si>
    <t>Electricity (kg/kWh)</t>
  </si>
  <si>
    <t>Total For CZ</t>
  </si>
  <si>
    <t>Total for CZ</t>
  </si>
  <si>
    <t>NG (GWh)</t>
  </si>
  <si>
    <t>HP (GWh)</t>
  </si>
  <si>
    <t>No EE With CC</t>
  </si>
  <si>
    <t>SPACEH HEATINB</t>
  </si>
  <si>
    <t>SPACE COOLING</t>
  </si>
  <si>
    <t>(GWh)</t>
  </si>
  <si>
    <t>No EE with CC</t>
  </si>
  <si>
    <t>NPV</t>
  </si>
  <si>
    <t>Elecblower</t>
  </si>
  <si>
    <t>kWh</t>
  </si>
  <si>
    <t>NG HH Cost</t>
  </si>
  <si>
    <t>HP+HP</t>
  </si>
  <si>
    <t>NG hh emis in 2018</t>
  </si>
  <si>
    <t>HP+HP emis</t>
  </si>
  <si>
    <t>in2018</t>
  </si>
  <si>
    <t>HP Combo House</t>
  </si>
  <si>
    <t>POPULATION</t>
  </si>
  <si>
    <t>windows U-val (% change?yr)</t>
  </si>
  <si>
    <t>Wall U-val (% change?yr)</t>
  </si>
  <si>
    <t>Roofs U-val (% change?yr)</t>
  </si>
  <si>
    <t>HPCombo</t>
  </si>
  <si>
    <t>total</t>
  </si>
  <si>
    <t>BAU</t>
  </si>
  <si>
    <t xml:space="preserve"> SF home with following split up</t>
  </si>
  <si>
    <t>of residential stock assumed</t>
  </si>
  <si>
    <t>heating</t>
  </si>
  <si>
    <t xml:space="preserve">From Janey reyna's Nature Comm (CDD And HDD for </t>
  </si>
  <si>
    <t xml:space="preserve">HDD = Heating Degree Days (base 65F) CDD = Cooling Degree Days (base 80F) </t>
  </si>
  <si>
    <t>For PGE data</t>
  </si>
  <si>
    <t>Title 24 requirement PGE 2006</t>
  </si>
  <si>
    <t>glazing U-val of window</t>
  </si>
  <si>
    <t>wood frame walls</t>
  </si>
  <si>
    <t>ceiling insulation</t>
  </si>
  <si>
    <t>C</t>
  </si>
  <si>
    <t>D</t>
  </si>
  <si>
    <t>Rvalue</t>
  </si>
  <si>
    <t>RASS 2009</t>
  </si>
  <si>
    <t>Town Home</t>
  </si>
  <si>
    <t>Mobile homes</t>
  </si>
  <si>
    <t>UEC</t>
  </si>
  <si>
    <t>Conv E Heat</t>
  </si>
  <si>
    <t>Saturation</t>
  </si>
  <si>
    <t xml:space="preserve">UEC </t>
  </si>
  <si>
    <t>HP Eheat</t>
  </si>
  <si>
    <t>Conv E Heat (% of SF)</t>
  </si>
  <si>
    <t>HP Eheat(% of SF)</t>
  </si>
  <si>
    <t>Central Air</t>
  </si>
  <si>
    <t>NG UEC</t>
  </si>
  <si>
    <t>Elec UEC</t>
  </si>
  <si>
    <t>NG UEC (% of SF)</t>
  </si>
  <si>
    <t>Assumption</t>
  </si>
  <si>
    <t>Num HHs etc from</t>
  </si>
  <si>
    <t>http://www.dof.ca.gov/research/demographic/reports/estimates/e-5/2011-20/view.php</t>
  </si>
  <si>
    <t>MBTU</t>
  </si>
  <si>
    <t>UEC from</t>
  </si>
  <si>
    <t>CA RASS 2009</t>
  </si>
  <si>
    <t>Dated May 2015, accessed Feb 5 2016</t>
  </si>
  <si>
    <t>Therm</t>
  </si>
  <si>
    <t>1 Therm</t>
  </si>
  <si>
    <t>http://poet.lbl.gov/cal-arch/results.html</t>
  </si>
  <si>
    <t>Estimates 1/1/2015</t>
  </si>
  <si>
    <t>2-4 UnitApt</t>
  </si>
  <si>
    <t>5+UnitApt</t>
  </si>
  <si>
    <t>Mobile Home</t>
  </si>
  <si>
    <t xml:space="preserve">Total HH </t>
  </si>
  <si>
    <t>Vacancy Rate</t>
  </si>
  <si>
    <t>Avg Persons/HH</t>
  </si>
  <si>
    <t>Total Pop (Millions)</t>
  </si>
  <si>
    <t>Total HH(Occupied)</t>
  </si>
  <si>
    <t>Stock (Millions)</t>
  </si>
  <si>
    <t xml:space="preserve">% of total </t>
  </si>
  <si>
    <t>Residential Ann. Energy Use (GWh orTherms)</t>
  </si>
  <si>
    <t>Residential Ann. Energy Use (MBTU)</t>
  </si>
  <si>
    <t>Wgted Av HH UEC (kWh/Therm)</t>
  </si>
  <si>
    <t>WtAvg HH UEC (MM BTU)</t>
  </si>
  <si>
    <t>Electricity</t>
  </si>
  <si>
    <t>UEC(kWh)</t>
  </si>
  <si>
    <t>RAAS 2009</t>
  </si>
  <si>
    <t>Total (GWh)</t>
  </si>
  <si>
    <t>Natural Gas</t>
  </si>
  <si>
    <t>UEC(Therms)</t>
  </si>
  <si>
    <t>RASS 2009 - Table 2-19</t>
  </si>
  <si>
    <t>Total(Therms)</t>
  </si>
  <si>
    <t>Total AnnEnergy (MBTU)</t>
  </si>
  <si>
    <t>Attachment 12</t>
  </si>
  <si>
    <t>References for energy end-use, elec demand GHG emissions:</t>
  </si>
  <si>
    <t>Reference calculation:</t>
  </si>
  <si>
    <t>Total HH NG Demand(M Therms)</t>
  </si>
  <si>
    <t>Total HH NG demand in GWh</t>
  </si>
  <si>
    <t>Table 2-19</t>
  </si>
  <si>
    <t>Increased Eff due to Electrification relative to NG appliances(Factor)</t>
  </si>
  <si>
    <t>(hh with gas)</t>
  </si>
  <si>
    <t>2009 RAAS</t>
  </si>
  <si>
    <t>Lighting</t>
  </si>
  <si>
    <t>RASS - 2009, Table 2-3</t>
  </si>
  <si>
    <t>For Single Fam</t>
  </si>
  <si>
    <t>Elec UEC by House Age</t>
  </si>
  <si>
    <t>Sat</t>
  </si>
  <si>
    <t>Therms/HH</t>
  </si>
  <si>
    <t>Refrig&amp;Freezing</t>
  </si>
  <si>
    <t>Saturation (SingleFam)</t>
  </si>
  <si>
    <t>New(UEC)</t>
  </si>
  <si>
    <t>New (Sat)</t>
  </si>
  <si>
    <t>Old (UCE)</t>
  </si>
  <si>
    <t>Old (Sat)</t>
  </si>
  <si>
    <t>Increase in Elec demand due to electrification today</t>
  </si>
  <si>
    <t>Primary Heat</t>
  </si>
  <si>
    <t>TV,PC +OfficeEq</t>
  </si>
  <si>
    <t>Misc</t>
  </si>
  <si>
    <t>Conv Gas WH</t>
  </si>
  <si>
    <t>Refrig 1st</t>
  </si>
  <si>
    <t>Dryer</t>
  </si>
  <si>
    <t>Pools &amp;Spa</t>
  </si>
  <si>
    <t>Microwave</t>
  </si>
  <si>
    <t>http://energyalmanac.ca.gov/naturalgas/overview.html</t>
  </si>
  <si>
    <t>Range Oven</t>
  </si>
  <si>
    <t>DishWash&amp;Cooking</t>
  </si>
  <si>
    <t>TV</t>
  </si>
  <si>
    <t>WH</t>
  </si>
  <si>
    <t>Pool Heat</t>
  </si>
  <si>
    <t>Laundry</t>
  </si>
  <si>
    <t>ClothesWash</t>
  </si>
  <si>
    <t>Residential NG Consumption in 2012</t>
  </si>
  <si>
    <t>1000s therms</t>
  </si>
  <si>
    <t>Spa Heat</t>
  </si>
  <si>
    <t>Sp Heating</t>
  </si>
  <si>
    <t>PC</t>
  </si>
  <si>
    <t>SolarWH Gasbackup</t>
  </si>
  <si>
    <t>Water Heating</t>
  </si>
  <si>
    <t>DishWash</t>
  </si>
  <si>
    <t>SH</t>
  </si>
  <si>
    <t>Mis</t>
  </si>
  <si>
    <t>Furnace Fac</t>
  </si>
  <si>
    <t>Cooking</t>
  </si>
  <si>
    <t>450 therms/hh (Energy almanac in 2012)</t>
  </si>
  <si>
    <t>Ave Total Ann HH Electricity~</t>
  </si>
  <si>
    <t>CentralAir</t>
  </si>
  <si>
    <t>Clothes dryer</t>
  </si>
  <si>
    <t>MMTherms/HHSector</t>
  </si>
  <si>
    <t>1200 kWh (20% of total consumption) estimated</t>
  </si>
  <si>
    <t>Refrig 2nd</t>
  </si>
  <si>
    <t>Pools and spas</t>
  </si>
  <si>
    <t>WaterHeating</t>
  </si>
  <si>
    <t>as interior lightig</t>
  </si>
  <si>
    <t>Pool Pump</t>
  </si>
  <si>
    <t>Space Heating</t>
  </si>
  <si>
    <t>Spa ElecHeat</t>
  </si>
  <si>
    <t>WaterHeater</t>
  </si>
  <si>
    <t>Pools,Spa,Misc</t>
  </si>
  <si>
    <t>ConvEheat</t>
  </si>
  <si>
    <t>Housign Stock (%)</t>
  </si>
  <si>
    <t>Residential NG Demand</t>
  </si>
  <si>
    <t>Total HH stock</t>
  </si>
  <si>
    <t>NG UEC (2016)</t>
  </si>
  <si>
    <t>share of total ng demand</t>
  </si>
  <si>
    <t xml:space="preserve"> HOUSING UNITS</t>
  </si>
  <si>
    <t>County / City</t>
  </si>
  <si>
    <t>Household</t>
  </si>
  <si>
    <t>Group Quarters</t>
  </si>
  <si>
    <t>Single Detached</t>
  </si>
  <si>
    <t>Single Attached</t>
  </si>
  <si>
    <t>Two to Four</t>
  </si>
  <si>
    <t>Five Plus</t>
  </si>
  <si>
    <t>Mobile Homes</t>
  </si>
  <si>
    <t>Occupied</t>
  </si>
  <si>
    <t>Persons per Household</t>
  </si>
  <si>
    <t>Clilmate zone</t>
  </si>
  <si>
    <t>Alameda County</t>
  </si>
  <si>
    <t>12,3</t>
  </si>
  <si>
    <t>By CZ order</t>
  </si>
  <si>
    <t>Alpine County</t>
  </si>
  <si>
    <t>Row Labels</t>
  </si>
  <si>
    <t>Sum of Population</t>
  </si>
  <si>
    <t>Pop share</t>
  </si>
  <si>
    <t>Amador County</t>
  </si>
  <si>
    <t>12,16</t>
  </si>
  <si>
    <t>County</t>
  </si>
  <si>
    <t>Area</t>
  </si>
  <si>
    <t>Percentage</t>
  </si>
  <si>
    <t>Butte County</t>
  </si>
  <si>
    <t>11,16</t>
  </si>
  <si>
    <t>Alameda</t>
  </si>
  <si>
    <t>Calaveras County</t>
  </si>
  <si>
    <t>Colusa County</t>
  </si>
  <si>
    <t>Contra Costa County</t>
  </si>
  <si>
    <t>3,12</t>
  </si>
  <si>
    <t>Alpine</t>
  </si>
  <si>
    <t>Del Norte County</t>
  </si>
  <si>
    <t>1,16</t>
  </si>
  <si>
    <t>Amador</t>
  </si>
  <si>
    <t>El Dorado County</t>
  </si>
  <si>
    <t>Fresno County</t>
  </si>
  <si>
    <t>4,13,16</t>
  </si>
  <si>
    <t>Butte</t>
  </si>
  <si>
    <t>Glenn County</t>
  </si>
  <si>
    <t>Humboldt County</t>
  </si>
  <si>
    <t>13,14</t>
  </si>
  <si>
    <t>Calaveras</t>
  </si>
  <si>
    <t>Imperial County</t>
  </si>
  <si>
    <t>Inyo County</t>
  </si>
  <si>
    <t>Colusa</t>
  </si>
  <si>
    <t>Kern County</t>
  </si>
  <si>
    <t>13,14,16</t>
  </si>
  <si>
    <t>Kings County</t>
  </si>
  <si>
    <t>Lake County</t>
  </si>
  <si>
    <t>Lassen County</t>
  </si>
  <si>
    <t>Contra Costa</t>
  </si>
  <si>
    <t>Los Angeles County</t>
  </si>
  <si>
    <t>6,8,9,14,16</t>
  </si>
  <si>
    <t>Grand Total</t>
  </si>
  <si>
    <t>Madera County</t>
  </si>
  <si>
    <t>Del Norte</t>
  </si>
  <si>
    <t>Marin County</t>
  </si>
  <si>
    <t>2,3</t>
  </si>
  <si>
    <t>Mariposa County</t>
  </si>
  <si>
    <t>El Dorado</t>
  </si>
  <si>
    <t>Mendocino County</t>
  </si>
  <si>
    <t>Merced County</t>
  </si>
  <si>
    <t>Modoc County</t>
  </si>
  <si>
    <t>Fresno</t>
  </si>
  <si>
    <t>Mono County</t>
  </si>
  <si>
    <t>Monterey County</t>
  </si>
  <si>
    <t>Napa County</t>
  </si>
  <si>
    <t>Nevada County</t>
  </si>
  <si>
    <t>Glenn</t>
  </si>
  <si>
    <t>Orange County</t>
  </si>
  <si>
    <t>6,8</t>
  </si>
  <si>
    <t>Placer County</t>
  </si>
  <si>
    <t>Plumas County</t>
  </si>
  <si>
    <t>Humboldt</t>
  </si>
  <si>
    <t>Riverside County</t>
  </si>
  <si>
    <t>10,16</t>
  </si>
  <si>
    <t>Sacramento County</t>
  </si>
  <si>
    <t>San Benito County</t>
  </si>
  <si>
    <t>Imperial</t>
  </si>
  <si>
    <t>San Bernardino County</t>
  </si>
  <si>
    <t>10,14,15,16</t>
  </si>
  <si>
    <t>San Diego County</t>
  </si>
  <si>
    <t>7,10,14,15</t>
  </si>
  <si>
    <t>Inyo</t>
  </si>
  <si>
    <t>San Francisco County</t>
  </si>
  <si>
    <t>San Joaquin County</t>
  </si>
  <si>
    <t>Kern</t>
  </si>
  <si>
    <t>San Luis Obispo County</t>
  </si>
  <si>
    <t>San Mateo County</t>
  </si>
  <si>
    <t>Santa Barbara County</t>
  </si>
  <si>
    <t>Santa Clara County</t>
  </si>
  <si>
    <t>Kings</t>
  </si>
  <si>
    <t>Santa Cruz County</t>
  </si>
  <si>
    <t>Shasta County</t>
  </si>
  <si>
    <t>Lake</t>
  </si>
  <si>
    <t>Sierra County</t>
  </si>
  <si>
    <t>Siskiyou County</t>
  </si>
  <si>
    <t>Solano County</t>
  </si>
  <si>
    <t>Sonoma County</t>
  </si>
  <si>
    <t>Lassen</t>
  </si>
  <si>
    <t>Stanislaus County</t>
  </si>
  <si>
    <t>Los Angeles</t>
  </si>
  <si>
    <t>Sutter County</t>
  </si>
  <si>
    <t>Tehama County</t>
  </si>
  <si>
    <t>Trinity County</t>
  </si>
  <si>
    <t>Tulare County</t>
  </si>
  <si>
    <t>13,16</t>
  </si>
  <si>
    <t>Tuolumne County</t>
  </si>
  <si>
    <t>Ventura County</t>
  </si>
  <si>
    <t>6,9,16</t>
  </si>
  <si>
    <t>Madera</t>
  </si>
  <si>
    <t>Yolo County</t>
  </si>
  <si>
    <t>Yuba County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</si>
  <si>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</si>
  <si>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</si>
  <si>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</si>
  <si>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</si>
  <si>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</si>
  <si>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</si>
  <si>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</si>
  <si>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</si>
  <si>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</si>
  <si>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Table 2: E-5 City/County Population and Housing Estimates, 1/1/2016</t>
  </si>
  <si>
    <t>Orange</t>
  </si>
  <si>
    <t>California Department of Finance</t>
  </si>
  <si>
    <t>Demographic Research Unit</t>
  </si>
  <si>
    <t>Placer</t>
  </si>
  <si>
    <t>Report E-5</t>
  </si>
  <si>
    <t>Population and Housing Estimates for Cities, Counties, and the State, January 1, 2011-2016, with 2010 Benchmark</t>
  </si>
  <si>
    <t>Plumas</t>
  </si>
  <si>
    <t>Released: May 1, 2016</t>
  </si>
  <si>
    <t>Riverside</t>
  </si>
  <si>
    <t>Table of Contents (links to internal worksheets)</t>
  </si>
  <si>
    <t>Counties and State 2010</t>
  </si>
  <si>
    <t>Cities and Counties 2010</t>
  </si>
  <si>
    <t>Counties and State 2011</t>
  </si>
  <si>
    <t>Cities and Counties 2011</t>
  </si>
  <si>
    <t>Sacramento</t>
  </si>
  <si>
    <t>Counties and State 2012</t>
  </si>
  <si>
    <t>Cities and Counties 2012</t>
  </si>
  <si>
    <t>San Benito</t>
  </si>
  <si>
    <t>Counties and State 2013</t>
  </si>
  <si>
    <t>Cities and Counties 2013</t>
  </si>
  <si>
    <t>Counties and State 2014</t>
  </si>
  <si>
    <t>Cities and Counties 2014</t>
  </si>
  <si>
    <t>San Bernardino</t>
  </si>
  <si>
    <t>Counties and State 2015</t>
  </si>
  <si>
    <t>Cities and Counties 2015</t>
  </si>
  <si>
    <t>Counties and State 2016</t>
  </si>
  <si>
    <t>Cities and Counties 2016</t>
  </si>
  <si>
    <t xml:space="preserve">For more information: </t>
  </si>
  <si>
    <t>San Diego</t>
  </si>
  <si>
    <t>Data Prepared by:</t>
  </si>
  <si>
    <t xml:space="preserve">  Demographic Research Unit</t>
  </si>
  <si>
    <t xml:space="preserve">  California Department of Finance</t>
  </si>
  <si>
    <t xml:space="preserve">  e-mail:  ficalpop@dof.ca.gov</t>
  </si>
  <si>
    <t>San Francisco</t>
  </si>
  <si>
    <t xml:space="preserve">  phone:  916-323-4086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</si>
  <si>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</si>
  <si>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</si>
  <si>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</si>
  <si>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</si>
  <si>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</si>
  <si>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</si>
  <si>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</si>
  <si>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</si>
  <si>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</si>
  <si>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</si>
  <si>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</si>
  <si>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</si>
  <si>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</si>
  <si>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</si>
  <si>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</si>
  <si>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</si>
  <si>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</si>
  <si>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</si>
  <si>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</si>
  <si>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</si>
  <si>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RASS</t>
  </si>
  <si>
    <t>Share of Homes by type</t>
  </si>
  <si>
    <t xml:space="preserve">Future Housing Growth </t>
  </si>
  <si>
    <t>new</t>
  </si>
  <si>
    <t>multi-fam</t>
  </si>
  <si>
    <t>Heating</t>
  </si>
  <si>
    <t>paraemters</t>
  </si>
  <si>
    <t>SF Home Energy demand</t>
  </si>
  <si>
    <t>% SF</t>
  </si>
  <si>
    <t>MF Home Energy Demand</t>
  </si>
  <si>
    <t xml:space="preserve">%MF </t>
  </si>
  <si>
    <t>Total Energy Demand of All homes</t>
  </si>
  <si>
    <t>Total Homes</t>
  </si>
  <si>
    <t>Total Energy For all Homes</t>
  </si>
  <si>
    <t>Future</t>
  </si>
  <si>
    <t>MF NG</t>
  </si>
  <si>
    <t>SF Homes NG</t>
  </si>
  <si>
    <t>MF Homes NG</t>
  </si>
  <si>
    <t>SF Homes ER</t>
  </si>
  <si>
    <t>MF Homes ER</t>
  </si>
  <si>
    <t>SF Homes HP</t>
  </si>
  <si>
    <t>MF Homes HP</t>
  </si>
  <si>
    <t>MF ER</t>
  </si>
  <si>
    <t>SF HP</t>
  </si>
  <si>
    <t>MF HP</t>
  </si>
  <si>
    <t>SF Energy</t>
  </si>
  <si>
    <t>MF Energy</t>
  </si>
  <si>
    <t>MF Energy (%)</t>
  </si>
  <si>
    <t>Total Energy</t>
  </si>
  <si>
    <t>SF NG eng/home</t>
  </si>
  <si>
    <t>SF ER eng/home</t>
  </si>
  <si>
    <t>SF HP eng/home</t>
  </si>
  <si>
    <t xml:space="preserve">BAU </t>
  </si>
  <si>
    <t>2050 CC</t>
  </si>
  <si>
    <t>AC Sat</t>
  </si>
  <si>
    <t>Num HH</t>
  </si>
  <si>
    <t>Total State Eng</t>
  </si>
  <si>
    <t>2016 - Building EE = Table 150.1-A</t>
  </si>
  <si>
    <t>Performance and Prescriptive compliance approach for row lise residential buildings</t>
  </si>
  <si>
    <t>window</t>
  </si>
  <si>
    <t>wall</t>
  </si>
  <si>
    <t>roof</t>
  </si>
  <si>
    <t>Ref for below text: http://ei.haas.berkeley.edu/events/docs/K.%20Novan.pdf</t>
  </si>
  <si>
    <t xml:space="preserve">Ceiling insulation requirements increased in 1982 and 2001 </t>
  </si>
  <si>
    <t>and wall insulation require- ments increased in 1992 and 2001.</t>
  </si>
  <si>
    <t xml:space="preserve"> The specified infiltration control requirements, which include caulking, </t>
  </si>
  <si>
    <t xml:space="preserve">weather-stripping, sealing, damping, and gasketing to reduce air leakage, </t>
  </si>
  <si>
    <t>have not changed meaningfully since 1978. Windows are regulated through glazing, area,</t>
  </si>
  <si>
    <t xml:space="preserve"> and shading requirements. The 1982 codes essentially introduced </t>
  </si>
  <si>
    <t xml:space="preserve">double-paned window re- quirement because single-paned windows cannot achieve a 0.65 U-factor. </t>
  </si>
  <si>
    <t xml:space="preserve">Window standards then changed little from 1982 to 2010. </t>
  </si>
  <si>
    <t xml:space="preserve">Maximum window area was essentially 16% of the floor area in the house </t>
  </si>
  <si>
    <t>throughout this period, and the shading requirements changed only forwindow</t>
  </si>
  <si>
    <t xml:space="preserve">sthat get little direct summer sunlight.9 In 2010,the CEC increased the allowable window area by 25% but tightened the glazing standard by 38% to a 0.4 U-factor.10 </t>
  </si>
  <si>
    <t>CEC Residential Compliance Manual Appendix B, Page B-10</t>
  </si>
  <si>
    <t>U-factors</t>
  </si>
  <si>
    <t xml:space="preserve">for fenestration - 2016, June 2015 -Buildings EE Standards for residenital and nonresidnetia buildingsTABLE 110.6-A DEFAULT FENESTRATION PRODUCT U-FACTORS </t>
  </si>
  <si>
    <t>space heating EF</t>
  </si>
  <si>
    <t>gas furnace(central(</t>
  </si>
  <si>
    <t>ER HPSC</t>
  </si>
  <si>
    <t>Space Cooling EF(SEER)</t>
  </si>
  <si>
    <t>WH EF</t>
  </si>
  <si>
    <t>ER Heater</t>
  </si>
  <si>
    <t>A/C EF</t>
  </si>
  <si>
    <t>r-value</t>
  </si>
  <si>
    <t>Prior to 1978</t>
  </si>
  <si>
    <t>Fenestration</t>
  </si>
  <si>
    <t>Wall</t>
  </si>
  <si>
    <t>1978 - 1983</t>
  </si>
  <si>
    <t>1984 - 1991</t>
  </si>
  <si>
    <t>1992  - 1998</t>
  </si>
  <si>
    <t>1999 -2 000</t>
  </si>
  <si>
    <t>2001 - 2003</t>
  </si>
  <si>
    <t>2004 - 2005</t>
  </si>
  <si>
    <t>2006 - 2012</t>
  </si>
  <si>
    <t>Roof/Ceiling</t>
  </si>
  <si>
    <t>http://www.energy.ca.gov/2013publications/CEC-400-2013-001/appendices/Appendix_B_Applicable_Tables_and_Language_from_Standards_and_RACM.pdf</t>
  </si>
  <si>
    <t>Water Heater (Inc Temp)</t>
  </si>
  <si>
    <t>NumCZ</t>
  </si>
  <si>
    <t>% of total Energy Used</t>
  </si>
  <si>
    <t>Housing Share</t>
  </si>
  <si>
    <t>cz16</t>
  </si>
  <si>
    <t>cz15</t>
  </si>
  <si>
    <t>cz13</t>
  </si>
  <si>
    <t># HH</t>
  </si>
  <si>
    <t>(Millions)</t>
  </si>
  <si>
    <t>EIA - Navigant Appliances EF and Costs</t>
  </si>
  <si>
    <t>Not hot dry or humid</t>
  </si>
  <si>
    <t>For North Central AC</t>
  </si>
  <si>
    <t>Typical Capacity kBTU/hr</t>
  </si>
  <si>
    <t>Energy Star</t>
  </si>
  <si>
    <t>Retail Cost (2017$)</t>
  </si>
  <si>
    <t>Installed Cost</t>
  </si>
  <si>
    <t>Avg Life</t>
  </si>
  <si>
    <t>11 to 25 years</t>
  </si>
  <si>
    <t>Air source heat pumps</t>
  </si>
  <si>
    <t>HPSF</t>
  </si>
  <si>
    <t>High</t>
  </si>
  <si>
    <t>Energy Star_high</t>
  </si>
  <si>
    <t>Avg :ofe</t>
  </si>
  <si>
    <t>9 to 22</t>
  </si>
  <si>
    <t>NREL Electric Appliances Space Coniditioners, 2017</t>
  </si>
  <si>
    <t xml:space="preserve">Electrification Futures Study: End-Use Electric Technology Cost and Performance Projections through 2050 </t>
  </si>
  <si>
    <t>Paige Jadun, Colin McMillan, Daniel Steinberg, Matteo Muratori, Laura Vimmerstedt, and Trieu Mai</t>
  </si>
  <si>
    <t xml:space="preserve">National Renewable Energy Laborator </t>
  </si>
  <si>
    <t xml:space="preserve">Suggested Citation </t>
  </si>
  <si>
    <r>
      <t xml:space="preserve">Jadun, Paige, Colin McMillan, Daniel Steinberg, Matteo Muratori, Laura Vimmerstedt, and Trieu Mai. 2017. </t>
    </r>
    <r>
      <rPr>
        <i/>
        <sz val="10"/>
        <color theme="1"/>
        <rFont val="Arial"/>
      </rPr>
      <t>Electrification Futures Study: End-Use Electric Technology Cost and Performance Projections through 2050</t>
    </r>
    <r>
      <rPr>
        <sz val="10"/>
        <color theme="1"/>
        <rFont val="ArialMT"/>
      </rPr>
      <t xml:space="preserve">. Golden, CO: National Renewable Energy Laboratory. NREL/TP-6A20-70485. https://www.nrel.gov/docs/fy18osti/70485.pdf. </t>
    </r>
  </si>
  <si>
    <t>NREL electrificaiton study</t>
  </si>
  <si>
    <t>Tonnage</t>
  </si>
  <si>
    <t>2 (RMI , 2018)</t>
  </si>
  <si>
    <t>4 (RMI, 2018)</t>
  </si>
  <si>
    <t>THE EF are from EAI, NREL and RMI</t>
  </si>
  <si>
    <t>2013-2016</t>
  </si>
  <si>
    <t>2020 +</t>
  </si>
  <si>
    <t>2016-2019</t>
  </si>
  <si>
    <t>https://www.energy.ca.gov/2018publications/CEC-400-2018-020/CEC-400-2018-020-CMF.pdf</t>
  </si>
  <si>
    <t xml:space="preserve">58% of homes are SF and consume 75% of heat </t>
  </si>
  <si>
    <t>if 100% of homes are SF and consume 100 TWh</t>
  </si>
  <si>
    <t>then 58% will be 58 TWh</t>
  </si>
  <si>
    <t>that is 75% of energy consumed by SF is 58 TWH</t>
  </si>
  <si>
    <t>therefore 100% of residential</t>
  </si>
  <si>
    <t>San Jose</t>
  </si>
  <si>
    <t>Long Beach</t>
  </si>
  <si>
    <t>SoCal Inland Valley</t>
  </si>
  <si>
    <t>LA Civic Center</t>
  </si>
  <si>
    <t>Sacremento</t>
  </si>
  <si>
    <t>Million $</t>
  </si>
  <si>
    <t>Million tons</t>
  </si>
  <si>
    <t> Show Data By:</t>
  </si>
  <si>
    <t>Data Series</t>
  </si>
  <si>
    <t>Total Consumption</t>
  </si>
  <si>
    <t>Lease and Plant Fuel</t>
  </si>
  <si>
    <t>Lease Fuel</t>
  </si>
  <si>
    <t>Plant Fuel</t>
  </si>
  <si>
    <t>Pipeline &amp; Distribution Use</t>
  </si>
  <si>
    <t>Volumes Delivered to Consumers</t>
  </si>
  <si>
    <t>NA</t>
  </si>
  <si>
    <t>Residential</t>
  </si>
  <si>
    <t>Commercial</t>
  </si>
  <si>
    <t>Industrial</t>
  </si>
  <si>
    <t>Vehicle Fuel</t>
  </si>
  <si>
    <t>Electric Power</t>
  </si>
  <si>
    <t>https://www.eia.gov/dnav/ng/ng_cons_sum_dcu_SCA_a.htm</t>
  </si>
  <si>
    <t>California</t>
  </si>
  <si>
    <t>CA ARB</t>
  </si>
  <si>
    <t>Res</t>
  </si>
  <si>
    <t>Com</t>
  </si>
  <si>
    <t>MMTON co2e</t>
  </si>
  <si>
    <t xml:space="preserve">Total </t>
  </si>
  <si>
    <t>MMTon state</t>
  </si>
  <si>
    <t>Res Electricity</t>
  </si>
  <si>
    <t>Res Elec</t>
  </si>
  <si>
    <t>Com Elec</t>
  </si>
  <si>
    <t>GWh</t>
  </si>
  <si>
    <t>GWH</t>
  </si>
  <si>
    <t>CI of elec</t>
  </si>
  <si>
    <t>BTU</t>
  </si>
  <si>
    <t>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</si>
</sst>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"/>
    <numFmt numFmtId="170" formatCode="_(* #,##0.000_);_(* \(#,##0.000\);_(* &quot;-&quot;??_);_(@_)"/>
    <numFmt numFmtId="171" formatCode="_(* #,##0.00000000_);_(* \(#,##0.00000000\);_(* &quot;-&quot;??_);_(@_)"/>
    <numFmt numFmtId="172" formatCode="_(* #,##0.000000000_);_(* \(#,##0.000000000\);_(* &quot;-&quot;??_);_(@_)"/>
    <numFmt numFmtId="173" formatCode="_(* #,##0.0000000000_);_(* \(#,##0.0000000000\);_(* &quot;-&quot;??_);_(@_)"/>
    <numFmt numFmtId="174" formatCode="_(* #,##0.00000_);_(* \(#,##0.00000\);_(* &quot;-&quot;??_);_(@_)"/>
    <numFmt numFmtId="175" formatCode="0.00000"/>
    <numFmt numFmtId="176" formatCode="_(* #,##0.0_);_(* \(#,##0.0\);_(* &quot;-&quot;?_);_(@_)"/>
    <numFmt numFmtId="177" formatCode="#,##0.0_);\(#,##0.0\)"/>
    <numFmt numFmtId="178" formatCode="0.000%"/>
    <numFmt numFmtId="179" formatCode="0.000"/>
    <numFmt numFmtId="180" formatCode="0.0000000000000000%"/>
    <numFmt numFmtId="181" formatCode="0.0000"/>
    <numFmt numFmtId="182" formatCode="#,##0.00000_);\(#,##0.00000\)"/>
    <numFmt numFmtId="183" formatCode="_(* #,##0.0000000_);_(* \(#,##0.0000000\);_(* &quot;-&quot;??_);_(@_)"/>
  </numFmts>
  <fonts count="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rgb="FFFF0000"/>
      <name val="Calibri"/>
      <scheme val="minor"/>
    </font>
    <font>
      <sz val="16"/>
      <color theme="1"/>
      <name val="Calibri"/>
      <scheme val="minor"/>
    </font>
    <font>
      <sz val="11"/>
      <color rgb="FFFF0000"/>
      <name val="Calibri (Body)"/>
    </font>
    <font>
      <b/>
      <sz val="10"/>
      <color indexed="81"/>
      <name val="Calibri"/>
    </font>
    <font>
      <b/>
      <sz val="12"/>
      <color rgb="FFFF0000"/>
      <name val="Calibri"/>
      <scheme val="minor"/>
    </font>
    <font>
      <b/>
      <sz val="11"/>
      <color rgb="FFFF0000"/>
      <name val="Calibri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C00000"/>
      <name val="Calibri (Body)"/>
    </font>
    <font>
      <b/>
      <sz val="14"/>
      <color rgb="FFC0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</font>
    <font>
      <b/>
      <u val="singleAccounting"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FF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u/>
      <sz val="10"/>
      <name val="Arial"/>
      <family val="2"/>
    </font>
    <font>
      <u/>
      <sz val="10"/>
      <color rgb="FF0000D4"/>
      <name val="Arial"/>
      <family val="2"/>
    </font>
    <font>
      <u/>
      <sz val="11"/>
      <color rgb="FF0563C1"/>
      <name val="Calibri"/>
      <family val="2"/>
      <scheme val="minor"/>
    </font>
    <font>
      <sz val="10"/>
      <name val="MS Sans Serif"/>
      <family val="2"/>
    </font>
    <font>
      <b/>
      <sz val="8"/>
      <color theme="1"/>
      <name val="Arial"/>
    </font>
    <font>
      <sz val="12"/>
      <color theme="1"/>
      <name val="LMRoman12"/>
    </font>
    <font>
      <i/>
      <sz val="10"/>
      <color theme="1"/>
      <name val="TimesNewRomanPS"/>
    </font>
    <font>
      <sz val="18"/>
      <color theme="1"/>
      <name val="Calibri"/>
      <family val="2"/>
      <scheme val="minor"/>
    </font>
    <font>
      <b/>
      <sz val="14"/>
      <color rgb="FFFF0000"/>
      <name val="Calibri"/>
      <scheme val="minor"/>
    </font>
    <font>
      <sz val="14"/>
      <color rgb="FFFF0000"/>
      <name val="Calibri"/>
      <family val="2"/>
      <scheme val="minor"/>
    </font>
    <font>
      <b/>
      <sz val="22"/>
      <color theme="1"/>
      <name val="Arial"/>
    </font>
    <font>
      <sz val="16"/>
      <color theme="1"/>
      <name val="ArialMT"/>
    </font>
    <font>
      <i/>
      <sz val="14"/>
      <color theme="1"/>
      <name val="Arial"/>
    </font>
    <font>
      <b/>
      <sz val="12"/>
      <color theme="1"/>
      <name val="Arial"/>
    </font>
    <font>
      <sz val="10"/>
      <color theme="1"/>
      <name val="ArialMT"/>
    </font>
    <font>
      <i/>
      <sz val="10"/>
      <color theme="1"/>
      <name val="Arial"/>
    </font>
    <font>
      <sz val="14"/>
      <color theme="1"/>
      <name val="Arial"/>
    </font>
    <font>
      <sz val="14"/>
      <color rgb="FF0000FF"/>
      <name val="Arial"/>
    </font>
    <font>
      <sz val="14"/>
      <color rgb="FF189BD7"/>
      <name val="Arial"/>
    </font>
    <font>
      <b/>
      <sz val="8"/>
      <color rgb="FF003399"/>
      <name val="Arial"/>
    </font>
    <font>
      <b/>
      <i/>
      <sz val="8"/>
      <color rgb="FF767676"/>
      <name val="Arial"/>
    </font>
    <font>
      <sz val="10"/>
      <color rgb="FF189BD7"/>
      <name val="Arial"/>
    </font>
    <font>
      <b/>
      <sz val="9"/>
      <color rgb="FF000080"/>
      <name val="Arial"/>
    </font>
    <font>
      <b/>
      <sz val="9"/>
      <color rgb="FFFFFFFF"/>
      <name val="Arial"/>
    </font>
    <font>
      <b/>
      <sz val="8"/>
      <color rgb="FF000080"/>
      <name val="Arial"/>
    </font>
    <font>
      <sz val="9"/>
      <color rgb="FF000080"/>
      <name val="Arial"/>
    </font>
    <font>
      <sz val="9"/>
      <color rgb="FF000000"/>
      <name val="Arial"/>
    </font>
    <font>
      <b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19">
    <xf numFmtId="0" fontId="0" fillId="0" borderId="0" xfId="0"/>
    <xf numFmtId="0" fontId="4" fillId="0" borderId="0" xfId="0" applyFont="1"/>
    <xf numFmtId="0" fontId="0" fillId="2" borderId="0" xfId="0" applyFill="1"/>
    <xf numFmtId="0" fontId="5" fillId="2" borderId="0" xfId="0" applyFont="1" applyFill="1"/>
    <xf numFmtId="164" fontId="5" fillId="2" borderId="0" xfId="1" applyNumberFormat="1" applyFont="1" applyFill="1"/>
    <xf numFmtId="164" fontId="0" fillId="0" borderId="0" xfId="1" applyNumberFormat="1" applyFont="1"/>
    <xf numFmtId="165" fontId="5" fillId="2" borderId="0" xfId="2" applyNumberFormat="1" applyFont="1" applyFill="1"/>
    <xf numFmtId="164" fontId="0" fillId="0" borderId="0" xfId="0" applyNumberFormat="1"/>
    <xf numFmtId="0" fontId="0" fillId="4" borderId="0" xfId="0" applyFill="1"/>
    <xf numFmtId="43" fontId="0" fillId="0" borderId="0" xfId="0" applyNumberFormat="1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5" fillId="2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5" fillId="2" borderId="8" xfId="1" applyNumberFormat="1" applyFont="1" applyFill="1" applyBorder="1"/>
    <xf numFmtId="167" fontId="5" fillId="2" borderId="9" xfId="1" applyNumberFormat="1" applyFont="1" applyFill="1" applyBorder="1"/>
    <xf numFmtId="167" fontId="5" fillId="2" borderId="0" xfId="1" applyNumberFormat="1" applyFont="1" applyFill="1"/>
    <xf numFmtId="168" fontId="0" fillId="0" borderId="0" xfId="1" applyNumberFormat="1" applyFont="1"/>
    <xf numFmtId="0" fontId="5" fillId="6" borderId="0" xfId="0" applyFont="1" applyFill="1"/>
    <xf numFmtId="167" fontId="5" fillId="2" borderId="0" xfId="1" applyNumberFormat="1" applyFont="1" applyFill="1" applyBorder="1"/>
    <xf numFmtId="166" fontId="0" fillId="0" borderId="0" xfId="0" applyNumberFormat="1"/>
    <xf numFmtId="43" fontId="0" fillId="0" borderId="6" xfId="1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164" fontId="0" fillId="0" borderId="7" xfId="1" applyNumberFormat="1" applyFont="1" applyBorder="1"/>
    <xf numFmtId="164" fontId="0" fillId="0" borderId="6" xfId="1" applyNumberFormat="1" applyFont="1" applyBorder="1"/>
    <xf numFmtId="170" fontId="0" fillId="0" borderId="0" xfId="0" applyNumberFormat="1" applyBorder="1"/>
    <xf numFmtId="0" fontId="5" fillId="2" borderId="8" xfId="0" applyFont="1" applyFill="1" applyBorder="1"/>
    <xf numFmtId="167" fontId="0" fillId="0" borderId="0" xfId="1" applyNumberFormat="1" applyFont="1"/>
    <xf numFmtId="170" fontId="0" fillId="0" borderId="6" xfId="1" applyNumberFormat="1" applyFont="1" applyBorder="1"/>
    <xf numFmtId="170" fontId="0" fillId="0" borderId="0" xfId="1" applyNumberFormat="1" applyFont="1" applyBorder="1"/>
    <xf numFmtId="170" fontId="0" fillId="0" borderId="7" xfId="1" applyNumberFormat="1" applyFont="1" applyBorder="1"/>
    <xf numFmtId="170" fontId="0" fillId="0" borderId="7" xfId="0" applyNumberFormat="1" applyBorder="1"/>
    <xf numFmtId="43" fontId="0" fillId="0" borderId="7" xfId="1" applyNumberFormat="1" applyFont="1" applyBorder="1"/>
    <xf numFmtId="43" fontId="0" fillId="0" borderId="0" xfId="1" applyNumberFormat="1" applyFont="1" applyFill="1" applyBorder="1"/>
    <xf numFmtId="0" fontId="0" fillId="0" borderId="0" xfId="0" applyFill="1" applyBorder="1"/>
    <xf numFmtId="171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3" fontId="0" fillId="0" borderId="11" xfId="0" applyNumberFormat="1" applyBorder="1"/>
    <xf numFmtId="0" fontId="0" fillId="2" borderId="13" xfId="0" applyFill="1" applyBorder="1"/>
    <xf numFmtId="10" fontId="0" fillId="2" borderId="14" xfId="0" applyNumberFormat="1" applyFill="1" applyBorder="1"/>
    <xf numFmtId="171" fontId="0" fillId="0" borderId="0" xfId="0" applyNumberFormat="1"/>
    <xf numFmtId="0" fontId="7" fillId="2" borderId="0" xfId="0" applyFont="1" applyFill="1"/>
    <xf numFmtId="0" fontId="8" fillId="2" borderId="0" xfId="0" applyFont="1" applyFill="1"/>
    <xf numFmtId="172" fontId="0" fillId="0" borderId="0" xfId="0" applyNumberFormat="1"/>
    <xf numFmtId="43" fontId="0" fillId="0" borderId="1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0" fontId="9" fillId="0" borderId="0" xfId="0" applyFon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43" fontId="4" fillId="0" borderId="11" xfId="0" applyNumberFormat="1" applyFont="1" applyBorder="1"/>
    <xf numFmtId="43" fontId="4" fillId="0" borderId="12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0" fillId="0" borderId="0" xfId="0" applyAlignment="1">
      <alignment wrapText="1"/>
    </xf>
    <xf numFmtId="10" fontId="0" fillId="0" borderId="0" xfId="0" applyNumberFormat="1"/>
    <xf numFmtId="0" fontId="0" fillId="3" borderId="0" xfId="0" applyFill="1"/>
    <xf numFmtId="0" fontId="4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/>
    <xf numFmtId="9" fontId="0" fillId="0" borderId="2" xfId="0" applyNumberFormat="1" applyBorder="1"/>
    <xf numFmtId="0" fontId="0" fillId="0" borderId="7" xfId="0" applyBorder="1" applyAlignment="1">
      <alignment wrapText="1"/>
    </xf>
    <xf numFmtId="0" fontId="11" fillId="0" borderId="1" xfId="0" applyFont="1" applyBorder="1"/>
    <xf numFmtId="0" fontId="11" fillId="3" borderId="2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175" fontId="2" fillId="5" borderId="0" xfId="0" applyNumberFormat="1" applyFont="1" applyFill="1" applyBorder="1"/>
    <xf numFmtId="175" fontId="5" fillId="5" borderId="7" xfId="1" applyNumberFormat="1" applyFont="1" applyFill="1" applyBorder="1"/>
    <xf numFmtId="0" fontId="0" fillId="0" borderId="6" xfId="0" applyBorder="1" applyAlignment="1">
      <alignment wrapText="1"/>
    </xf>
    <xf numFmtId="175" fontId="2" fillId="5" borderId="11" xfId="0" applyNumberFormat="1" applyFont="1" applyFill="1" applyBorder="1"/>
    <xf numFmtId="175" fontId="5" fillId="5" borderId="12" xfId="1" applyNumberFormat="1" applyFont="1" applyFill="1" applyBorder="1"/>
    <xf numFmtId="167" fontId="2" fillId="2" borderId="0" xfId="0" applyNumberFormat="1" applyFont="1" applyFill="1"/>
    <xf numFmtId="43" fontId="2" fillId="2" borderId="0" xfId="0" applyNumberFormat="1" applyFont="1" applyFill="1"/>
    <xf numFmtId="0" fontId="11" fillId="0" borderId="0" xfId="0" applyFont="1" applyAlignment="1">
      <alignment wrapText="1"/>
    </xf>
    <xf numFmtId="164" fontId="12" fillId="2" borderId="8" xfId="1" applyNumberFormat="1" applyFont="1" applyFill="1" applyBorder="1"/>
    <xf numFmtId="0" fontId="12" fillId="2" borderId="8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 applyAlignment="1">
      <alignment wrapText="1"/>
    </xf>
    <xf numFmtId="0" fontId="11" fillId="2" borderId="17" xfId="0" applyFont="1" applyFill="1" applyBorder="1" applyAlignment="1">
      <alignment wrapText="1"/>
    </xf>
    <xf numFmtId="0" fontId="11" fillId="2" borderId="0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2" xfId="0" applyFont="1" applyFill="1" applyBorder="1"/>
    <xf numFmtId="169" fontId="2" fillId="2" borderId="2" xfId="0" applyNumberFormat="1" applyFont="1" applyFill="1" applyBorder="1"/>
    <xf numFmtId="0" fontId="2" fillId="2" borderId="3" xfId="0" applyFont="1" applyFill="1" applyBorder="1"/>
    <xf numFmtId="169" fontId="2" fillId="2" borderId="6" xfId="0" applyNumberFormat="1" applyFont="1" applyFill="1" applyBorder="1"/>
    <xf numFmtId="169" fontId="2" fillId="2" borderId="0" xfId="0" applyNumberFormat="1" applyFont="1" applyFill="1" applyBorder="1"/>
    <xf numFmtId="0" fontId="2" fillId="2" borderId="7" xfId="0" applyFont="1" applyFill="1" applyBorder="1"/>
    <xf numFmtId="169" fontId="2" fillId="2" borderId="11" xfId="0" applyNumberFormat="1" applyFont="1" applyFill="1" applyBorder="1"/>
    <xf numFmtId="0" fontId="2" fillId="2" borderId="12" xfId="0" applyFont="1" applyFill="1" applyBorder="1"/>
    <xf numFmtId="0" fontId="11" fillId="2" borderId="15" xfId="0" applyFont="1" applyFill="1" applyBorder="1" applyAlignment="1">
      <alignment wrapText="1"/>
    </xf>
    <xf numFmtId="0" fontId="13" fillId="0" borderId="0" xfId="0" applyFont="1"/>
    <xf numFmtId="9" fontId="0" fillId="0" borderId="0" xfId="0" applyNumberFormat="1" applyBorder="1"/>
    <xf numFmtId="9" fontId="0" fillId="0" borderId="7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18" xfId="0" applyBorder="1"/>
    <xf numFmtId="0" fontId="0" fillId="0" borderId="19" xfId="0" applyBorder="1"/>
    <xf numFmtId="0" fontId="13" fillId="0" borderId="19" xfId="0" applyFont="1" applyBorder="1"/>
    <xf numFmtId="0" fontId="13" fillId="0" borderId="20" xfId="0" applyFont="1" applyBorder="1"/>
    <xf numFmtId="0" fontId="3" fillId="0" borderId="1" xfId="0" applyFont="1" applyBorder="1"/>
    <xf numFmtId="0" fontId="13" fillId="0" borderId="6" xfId="0" applyFont="1" applyBorder="1"/>
    <xf numFmtId="0" fontId="13" fillId="0" borderId="7" xfId="0" applyFont="1" applyBorder="1"/>
    <xf numFmtId="0" fontId="0" fillId="0" borderId="20" xfId="0" applyBorder="1"/>
    <xf numFmtId="0" fontId="13" fillId="0" borderId="19" xfId="0" applyFont="1" applyBorder="1" applyAlignment="1">
      <alignment wrapText="1"/>
    </xf>
    <xf numFmtId="0" fontId="0" fillId="0" borderId="0" xfId="0" quotePrefix="1"/>
    <xf numFmtId="0" fontId="0" fillId="2" borderId="6" xfId="0" applyFill="1" applyBorder="1"/>
    <xf numFmtId="0" fontId="11" fillId="2" borderId="6" xfId="0" applyFont="1" applyFill="1" applyBorder="1"/>
    <xf numFmtId="0" fontId="11" fillId="2" borderId="10" xfId="0" applyFont="1" applyFill="1" applyBorder="1"/>
    <xf numFmtId="0" fontId="11" fillId="3" borderId="0" xfId="0" applyFont="1" applyFill="1" applyBorder="1" applyAlignment="1">
      <alignment wrapText="1"/>
    </xf>
    <xf numFmtId="0" fontId="11" fillId="3" borderId="7" xfId="0" applyFont="1" applyFill="1" applyBorder="1" applyAlignment="1">
      <alignment wrapText="1"/>
    </xf>
    <xf numFmtId="0" fontId="14" fillId="7" borderId="0" xfId="0" applyFont="1" applyFill="1"/>
    <xf numFmtId="0" fontId="0" fillId="8" borderId="0" xfId="0" applyFill="1"/>
    <xf numFmtId="0" fontId="11" fillId="8" borderId="0" xfId="0" applyFont="1" applyFill="1"/>
    <xf numFmtId="0" fontId="3" fillId="5" borderId="0" xfId="0" applyFont="1" applyFill="1"/>
    <xf numFmtId="0" fontId="0" fillId="0" borderId="0" xfId="0" applyFill="1"/>
    <xf numFmtId="164" fontId="6" fillId="0" borderId="8" xfId="1" applyNumberFormat="1" applyFont="1" applyFill="1" applyBorder="1"/>
    <xf numFmtId="166" fontId="0" fillId="0" borderId="0" xfId="0" applyNumberFormat="1" applyFill="1"/>
    <xf numFmtId="164" fontId="0" fillId="0" borderId="0" xfId="1" applyNumberFormat="1" applyFont="1" applyFill="1"/>
    <xf numFmtId="164" fontId="3" fillId="4" borderId="0" xfId="1" applyNumberFormat="1" applyFont="1" applyFill="1"/>
    <xf numFmtId="164" fontId="0" fillId="0" borderId="0" xfId="0" applyNumberFormat="1" applyFill="1"/>
    <xf numFmtId="43" fontId="0" fillId="0" borderId="0" xfId="0" applyNumberFormat="1" applyFill="1"/>
    <xf numFmtId="176" fontId="0" fillId="0" borderId="0" xfId="0" applyNumberFormat="1"/>
    <xf numFmtId="170" fontId="0" fillId="0" borderId="0" xfId="0" applyNumberFormat="1"/>
    <xf numFmtId="165" fontId="0" fillId="0" borderId="0" xfId="2" applyNumberFormat="1" applyFont="1"/>
    <xf numFmtId="167" fontId="0" fillId="0" borderId="0" xfId="0" applyNumberFormat="1"/>
    <xf numFmtId="0" fontId="12" fillId="2" borderId="0" xfId="0" applyFont="1" applyFill="1"/>
    <xf numFmtId="164" fontId="12" fillId="2" borderId="0" xfId="1" applyNumberFormat="1" applyFont="1" applyFill="1"/>
    <xf numFmtId="165" fontId="12" fillId="2" borderId="0" xfId="2" applyNumberFormat="1" applyFont="1" applyFill="1"/>
    <xf numFmtId="166" fontId="12" fillId="2" borderId="0" xfId="1" applyNumberFormat="1" applyFont="1" applyFill="1"/>
    <xf numFmtId="9" fontId="0" fillId="0" borderId="0" xfId="0" applyNumberFormat="1"/>
    <xf numFmtId="0" fontId="19" fillId="0" borderId="0" xfId="0" applyFont="1"/>
    <xf numFmtId="169" fontId="0" fillId="0" borderId="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169" fontId="0" fillId="0" borderId="2" xfId="0" applyNumberFormat="1" applyBorder="1"/>
    <xf numFmtId="0" fontId="3" fillId="0" borderId="0" xfId="0" applyFont="1"/>
    <xf numFmtId="43" fontId="0" fillId="3" borderId="0" xfId="0" applyNumberFormat="1" applyFill="1"/>
    <xf numFmtId="9" fontId="0" fillId="0" borderId="0" xfId="2" applyFont="1"/>
    <xf numFmtId="166" fontId="21" fillId="0" borderId="0" xfId="0" applyNumberFormat="1" applyFont="1"/>
    <xf numFmtId="43" fontId="0" fillId="0" borderId="0" xfId="1" applyNumberFormat="1" applyFont="1"/>
    <xf numFmtId="0" fontId="22" fillId="0" borderId="0" xfId="7"/>
    <xf numFmtId="49" fontId="22" fillId="0" borderId="0" xfId="7" applyNumberFormat="1"/>
    <xf numFmtId="0" fontId="22" fillId="0" borderId="0" xfId="7" applyNumberFormat="1"/>
    <xf numFmtId="0" fontId="13" fillId="0" borderId="0" xfId="0" applyFont="1" applyBorder="1"/>
    <xf numFmtId="0" fontId="13" fillId="0" borderId="0" xfId="0" applyFont="1" applyAlignment="1">
      <alignment wrapText="1"/>
    </xf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8" fontId="0" fillId="0" borderId="0" xfId="0" applyNumberFormat="1"/>
    <xf numFmtId="164" fontId="2" fillId="5" borderId="0" xfId="1" applyNumberFormat="1" applyFont="1" applyFill="1"/>
    <xf numFmtId="164" fontId="11" fillId="5" borderId="0" xfId="1" applyNumberFormat="1" applyFont="1" applyFill="1"/>
    <xf numFmtId="0" fontId="23" fillId="5" borderId="0" xfId="0" applyFont="1" applyFill="1"/>
    <xf numFmtId="0" fontId="7" fillId="5" borderId="0" xfId="0" applyFont="1" applyFill="1"/>
    <xf numFmtId="177" fontId="5" fillId="2" borderId="0" xfId="1" applyNumberFormat="1" applyFont="1" applyFill="1"/>
    <xf numFmtId="177" fontId="12" fillId="2" borderId="0" xfId="1" applyNumberFormat="1" applyFont="1" applyFill="1"/>
    <xf numFmtId="164" fontId="2" fillId="6" borderId="0" xfId="1" applyNumberFormat="1" applyFont="1" applyFill="1"/>
    <xf numFmtId="164" fontId="12" fillId="6" borderId="0" xfId="1" applyNumberFormat="1" applyFont="1" applyFill="1"/>
    <xf numFmtId="164" fontId="5" fillId="5" borderId="0" xfId="1" applyNumberFormat="1" applyFont="1" applyFill="1"/>
    <xf numFmtId="164" fontId="2" fillId="9" borderId="0" xfId="1" applyNumberFormat="1" applyFont="1" applyFill="1"/>
    <xf numFmtId="164" fontId="5" fillId="9" borderId="0" xfId="1" applyNumberFormat="1" applyFont="1" applyFill="1"/>
    <xf numFmtId="178" fontId="5" fillId="2" borderId="0" xfId="2" applyNumberFormat="1" applyFont="1" applyFill="1"/>
    <xf numFmtId="0" fontId="24" fillId="0" borderId="0" xfId="0" applyFont="1"/>
    <xf numFmtId="9" fontId="22" fillId="0" borderId="0" xfId="2" applyFont="1"/>
    <xf numFmtId="165" fontId="22" fillId="0" borderId="0" xfId="2" applyNumberFormat="1" applyFont="1"/>
    <xf numFmtId="0" fontId="4" fillId="0" borderId="0" xfId="7" applyFont="1"/>
    <xf numFmtId="9" fontId="22" fillId="0" borderId="0" xfId="7" applyNumberFormat="1"/>
    <xf numFmtId="2" fontId="22" fillId="0" borderId="0" xfId="7" applyNumberFormat="1"/>
    <xf numFmtId="0" fontId="25" fillId="0" borderId="0" xfId="12" applyAlignment="1"/>
    <xf numFmtId="0" fontId="25" fillId="0" borderId="0" xfId="12"/>
    <xf numFmtId="0" fontId="26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/>
    <xf numFmtId="2" fontId="0" fillId="0" borderId="0" xfId="0" applyNumberFormat="1" applyFill="1"/>
    <xf numFmtId="2" fontId="4" fillId="0" borderId="0" xfId="0" applyNumberFormat="1" applyFont="1"/>
    <xf numFmtId="2" fontId="0" fillId="4" borderId="0" xfId="0" applyNumberFormat="1" applyFont="1" applyFill="1"/>
    <xf numFmtId="0" fontId="0" fillId="0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0" fillId="0" borderId="6" xfId="0" applyFill="1" applyBorder="1"/>
    <xf numFmtId="164" fontId="0" fillId="0" borderId="6" xfId="1" applyNumberFormat="1" applyFont="1" applyFill="1" applyBorder="1"/>
    <xf numFmtId="164" fontId="4" fillId="0" borderId="0" xfId="1" applyNumberFormat="1" applyFont="1" applyBorder="1"/>
    <xf numFmtId="164" fontId="4" fillId="8" borderId="0" xfId="1" applyNumberFormat="1" applyFont="1" applyFill="1" applyBorder="1"/>
    <xf numFmtId="43" fontId="4" fillId="0" borderId="7" xfId="0" applyNumberFormat="1" applyFont="1" applyBorder="1"/>
    <xf numFmtId="0" fontId="4" fillId="0" borderId="0" xfId="0" applyFont="1" applyBorder="1"/>
    <xf numFmtId="0" fontId="4" fillId="0" borderId="7" xfId="0" applyFont="1" applyBorder="1"/>
    <xf numFmtId="165" fontId="0" fillId="8" borderId="6" xfId="2" applyNumberFormat="1" applyFont="1" applyFill="1" applyBorder="1"/>
    <xf numFmtId="165" fontId="0" fillId="0" borderId="0" xfId="2" applyNumberFormat="1" applyFont="1" applyBorder="1"/>
    <xf numFmtId="0" fontId="4" fillId="0" borderId="6" xfId="0" applyFont="1" applyBorder="1"/>
    <xf numFmtId="164" fontId="4" fillId="0" borderId="0" xfId="0" applyNumberFormat="1" applyFont="1" applyBorder="1"/>
    <xf numFmtId="164" fontId="4" fillId="8" borderId="0" xfId="0" applyNumberFormat="1" applyFont="1" applyFill="1" applyBorder="1"/>
    <xf numFmtId="9" fontId="0" fillId="8" borderId="6" xfId="2" applyFont="1" applyFill="1" applyBorder="1"/>
    <xf numFmtId="9" fontId="0" fillId="0" borderId="0" xfId="2" applyFont="1" applyFill="1" applyBorder="1"/>
    <xf numFmtId="0" fontId="4" fillId="0" borderId="10" xfId="0" applyFont="1" applyBorder="1"/>
    <xf numFmtId="164" fontId="4" fillId="0" borderId="11" xfId="1" applyNumberFormat="1" applyFont="1" applyBorder="1"/>
    <xf numFmtId="43" fontId="4" fillId="4" borderId="11" xfId="1" applyNumberFormat="1" applyFont="1" applyFill="1" applyBorder="1"/>
    <xf numFmtId="0" fontId="4" fillId="10" borderId="4" xfId="0" applyFont="1" applyFill="1" applyBorder="1"/>
    <xf numFmtId="0" fontId="4" fillId="10" borderId="21" xfId="0" applyFont="1" applyFill="1" applyBorder="1"/>
    <xf numFmtId="164" fontId="4" fillId="10" borderId="5" xfId="0" applyNumberFormat="1" applyFont="1" applyFill="1" applyBorder="1"/>
    <xf numFmtId="0" fontId="4" fillId="10" borderId="8" xfId="0" applyFont="1" applyFill="1" applyBorder="1"/>
    <xf numFmtId="0" fontId="4" fillId="10" borderId="0" xfId="0" applyFont="1" applyFill="1" applyBorder="1"/>
    <xf numFmtId="164" fontId="4" fillId="10" borderId="9" xfId="0" applyNumberFormat="1" applyFont="1" applyFill="1" applyBorder="1"/>
    <xf numFmtId="0" fontId="4" fillId="10" borderId="9" xfId="0" applyFont="1" applyFill="1" applyBorder="1"/>
    <xf numFmtId="0" fontId="4" fillId="0" borderId="4" xfId="0" applyFont="1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4" fillId="11" borderId="9" xfId="0" applyFont="1" applyFill="1" applyBorder="1"/>
    <xf numFmtId="0" fontId="4" fillId="10" borderId="13" xfId="0" applyFont="1" applyFill="1" applyBorder="1"/>
    <xf numFmtId="0" fontId="4" fillId="10" borderId="23" xfId="0" applyFont="1" applyFill="1" applyBorder="1"/>
    <xf numFmtId="0" fontId="4" fillId="10" borderId="14" xfId="0" applyFont="1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13" xfId="0" applyBorder="1"/>
    <xf numFmtId="0" fontId="4" fillId="0" borderId="23" xfId="0" applyFont="1" applyBorder="1"/>
    <xf numFmtId="0" fontId="0" fillId="0" borderId="23" xfId="0" applyBorder="1"/>
    <xf numFmtId="0" fontId="0" fillId="0" borderId="24" xfId="0" applyBorder="1"/>
    <xf numFmtId="0" fontId="4" fillId="11" borderId="14" xfId="0" applyFont="1" applyFill="1" applyBorder="1"/>
    <xf numFmtId="1" fontId="0" fillId="0" borderId="7" xfId="0" applyNumberFormat="1" applyBorder="1"/>
    <xf numFmtId="1" fontId="4" fillId="0" borderId="0" xfId="0" applyNumberFormat="1" applyFont="1"/>
    <xf numFmtId="164" fontId="4" fillId="0" borderId="0" xfId="1" applyNumberFormat="1" applyFont="1"/>
    <xf numFmtId="0" fontId="0" fillId="9" borderId="0" xfId="0" applyFill="1" applyBorder="1"/>
    <xf numFmtId="0" fontId="0" fillId="9" borderId="7" xfId="0" applyFill="1" applyBorder="1"/>
    <xf numFmtId="165" fontId="0" fillId="0" borderId="11" xfId="2" applyNumberFormat="1" applyFont="1" applyBorder="1"/>
    <xf numFmtId="165" fontId="3" fillId="9" borderId="0" xfId="2" applyNumberFormat="1" applyFont="1" applyFill="1"/>
    <xf numFmtId="10" fontId="22" fillId="0" borderId="0" xfId="2" applyNumberFormat="1" applyFont="1"/>
    <xf numFmtId="164" fontId="22" fillId="0" borderId="0" xfId="1" applyNumberFormat="1" applyFont="1"/>
    <xf numFmtId="164" fontId="22" fillId="0" borderId="0" xfId="7" applyNumberFormat="1"/>
    <xf numFmtId="0" fontId="29" fillId="0" borderId="0" xfId="0" applyFont="1"/>
    <xf numFmtId="0" fontId="29" fillId="12" borderId="25" xfId="0" applyFont="1" applyFill="1" applyBorder="1"/>
    <xf numFmtId="165" fontId="19" fillId="12" borderId="3" xfId="0" applyNumberFormat="1" applyFont="1" applyFill="1" applyBorder="1" applyAlignment="1">
      <alignment horizontal="center"/>
    </xf>
    <xf numFmtId="2" fontId="19" fillId="12" borderId="2" xfId="0" applyNumberFormat="1" applyFont="1" applyFill="1" applyBorder="1"/>
    <xf numFmtId="2" fontId="19" fillId="12" borderId="0" xfId="0" applyNumberFormat="1" applyFont="1" applyFill="1"/>
    <xf numFmtId="0" fontId="30" fillId="0" borderId="0" xfId="0" applyFont="1"/>
    <xf numFmtId="0" fontId="30" fillId="0" borderId="6" xfId="0" applyFont="1" applyBorder="1"/>
    <xf numFmtId="0" fontId="29" fillId="12" borderId="27" xfId="0" applyFont="1" applyFill="1" applyBorder="1"/>
    <xf numFmtId="3" fontId="29" fillId="12" borderId="10" xfId="0" applyNumberFormat="1" applyFont="1" applyFill="1" applyBorder="1" applyAlignment="1">
      <alignment horizontal="center"/>
    </xf>
    <xf numFmtId="3" fontId="29" fillId="12" borderId="11" xfId="0" applyNumberFormat="1" applyFont="1" applyFill="1" applyBorder="1" applyAlignment="1">
      <alignment horizontal="center" wrapText="1"/>
    </xf>
    <xf numFmtId="3" fontId="29" fillId="12" borderId="10" xfId="0" applyNumberFormat="1" applyFont="1" applyFill="1" applyBorder="1" applyAlignment="1">
      <alignment horizontal="center" wrapText="1"/>
    </xf>
    <xf numFmtId="3" fontId="29" fillId="12" borderId="12" xfId="0" applyNumberFormat="1" applyFont="1" applyFill="1" applyBorder="1" applyAlignment="1">
      <alignment horizontal="center" wrapText="1"/>
    </xf>
    <xf numFmtId="165" fontId="29" fillId="12" borderId="12" xfId="0" applyNumberFormat="1" applyFont="1" applyFill="1" applyBorder="1" applyAlignment="1">
      <alignment horizontal="center" wrapText="1"/>
    </xf>
    <xf numFmtId="2" fontId="29" fillId="12" borderId="11" xfId="0" applyNumberFormat="1" applyFont="1" applyFill="1" applyBorder="1" applyAlignment="1">
      <alignment horizontal="center" wrapText="1"/>
    </xf>
    <xf numFmtId="2" fontId="29" fillId="12" borderId="0" xfId="0" applyNumberFormat="1" applyFont="1" applyFill="1" applyAlignment="1">
      <alignment horizontal="center" wrapText="1"/>
    </xf>
    <xf numFmtId="0" fontId="31" fillId="0" borderId="0" xfId="0" applyFont="1"/>
    <xf numFmtId="0" fontId="32" fillId="0" borderId="8" xfId="0" applyFont="1" applyBorder="1" applyAlignment="1">
      <alignment horizontal="left"/>
    </xf>
    <xf numFmtId="3" fontId="33" fillId="0" borderId="0" xfId="0" applyNumberFormat="1" applyFont="1"/>
    <xf numFmtId="165" fontId="33" fillId="0" borderId="0" xfId="0" applyNumberFormat="1" applyFont="1"/>
    <xf numFmtId="2" fontId="33" fillId="0" borderId="0" xfId="0" applyNumberFormat="1" applyFont="1"/>
    <xf numFmtId="1" fontId="33" fillId="0" borderId="0" xfId="0" applyNumberFormat="1" applyFont="1"/>
    <xf numFmtId="0" fontId="34" fillId="0" borderId="0" xfId="0" applyFont="1"/>
    <xf numFmtId="10" fontId="34" fillId="0" borderId="0" xfId="0" applyNumberFormat="1" applyFont="1"/>
    <xf numFmtId="165" fontId="34" fillId="0" borderId="0" xfId="0" applyNumberFormat="1" applyFont="1"/>
    <xf numFmtId="164" fontId="34" fillId="0" borderId="0" xfId="0" applyNumberFormat="1" applyFont="1"/>
    <xf numFmtId="0" fontId="35" fillId="0" borderId="0" xfId="0" applyFont="1"/>
    <xf numFmtId="0" fontId="32" fillId="0" borderId="27" xfId="0" applyFont="1" applyBorder="1" applyAlignment="1">
      <alignment horizontal="left"/>
    </xf>
    <xf numFmtId="0" fontId="36" fillId="13" borderId="28" xfId="0" applyFont="1" applyFill="1" applyBorder="1"/>
    <xf numFmtId="0" fontId="36" fillId="13" borderId="29" xfId="0" applyFont="1" applyFill="1" applyBorder="1" applyAlignment="1">
      <alignment horizontal="right"/>
    </xf>
    <xf numFmtId="0" fontId="19" fillId="14" borderId="28" xfId="0" applyFont="1" applyFill="1" applyBorder="1" applyAlignment="1">
      <alignment horizontal="left"/>
    </xf>
    <xf numFmtId="3" fontId="19" fillId="14" borderId="29" xfId="0" applyNumberFormat="1" applyFont="1" applyFill="1" applyBorder="1"/>
    <xf numFmtId="165" fontId="19" fillId="14" borderId="29" xfId="0" applyNumberFormat="1" applyFont="1" applyFill="1" applyBorder="1"/>
    <xf numFmtId="0" fontId="32" fillId="15" borderId="8" xfId="0" applyFont="1" applyFill="1" applyBorder="1" applyAlignment="1">
      <alignment horizontal="left"/>
    </xf>
    <xf numFmtId="0" fontId="34" fillId="15" borderId="0" xfId="0" applyFont="1" applyFill="1"/>
    <xf numFmtId="0" fontId="19" fillId="0" borderId="28" xfId="0" applyFont="1" applyBorder="1" applyAlignment="1">
      <alignment horizontal="left"/>
    </xf>
    <xf numFmtId="3" fontId="19" fillId="0" borderId="29" xfId="0" applyNumberFormat="1" applyFont="1" applyBorder="1"/>
    <xf numFmtId="165" fontId="34" fillId="16" borderId="0" xfId="0" applyNumberFormat="1" applyFont="1" applyFill="1"/>
    <xf numFmtId="10" fontId="19" fillId="0" borderId="0" xfId="0" applyNumberFormat="1" applyFont="1"/>
    <xf numFmtId="0" fontId="31" fillId="17" borderId="0" xfId="0" applyFont="1" applyFill="1"/>
    <xf numFmtId="165" fontId="37" fillId="0" borderId="0" xfId="0" applyNumberFormat="1" applyFont="1"/>
    <xf numFmtId="0" fontId="35" fillId="14" borderId="30" xfId="0" applyFont="1" applyFill="1" applyBorder="1" applyAlignment="1">
      <alignment horizontal="left"/>
    </xf>
    <xf numFmtId="3" fontId="35" fillId="14" borderId="31" xfId="0" applyNumberFormat="1" applyFont="1" applyFill="1" applyBorder="1"/>
    <xf numFmtId="3" fontId="32" fillId="0" borderId="0" xfId="0" applyNumberFormat="1" applyFont="1"/>
    <xf numFmtId="165" fontId="32" fillId="0" borderId="0" xfId="0" applyNumberFormat="1" applyFont="1"/>
    <xf numFmtId="2" fontId="32" fillId="0" borderId="0" xfId="0" applyNumberFormat="1" applyFont="1"/>
    <xf numFmtId="1" fontId="32" fillId="0" borderId="0" xfId="0" applyNumberFormat="1" applyFont="1"/>
    <xf numFmtId="179" fontId="34" fillId="0" borderId="0" xfId="0" applyNumberFormat="1" applyFont="1"/>
    <xf numFmtId="0" fontId="33" fillId="0" borderId="8" xfId="0" applyFont="1" applyBorder="1" applyAlignment="1">
      <alignment horizontal="left" indent="4"/>
    </xf>
    <xf numFmtId="0" fontId="32" fillId="0" borderId="8" xfId="0" applyFont="1" applyBorder="1" applyAlignment="1">
      <alignment wrapText="1"/>
    </xf>
    <xf numFmtId="3" fontId="33" fillId="0" borderId="0" xfId="0" applyNumberFormat="1" applyFont="1" applyAlignment="1">
      <alignment wrapText="1"/>
    </xf>
    <xf numFmtId="165" fontId="33" fillId="0" borderId="0" xfId="0" applyNumberFormat="1" applyFont="1" applyAlignment="1">
      <alignment wrapText="1"/>
    </xf>
    <xf numFmtId="2" fontId="33" fillId="0" borderId="0" xfId="0" applyNumberFormat="1" applyFont="1" applyAlignment="1">
      <alignment wrapText="1"/>
    </xf>
    <xf numFmtId="0" fontId="32" fillId="0" borderId="13" xfId="0" applyFont="1" applyBorder="1"/>
    <xf numFmtId="3" fontId="33" fillId="0" borderId="23" xfId="0" applyNumberFormat="1" applyFont="1" applyBorder="1" applyAlignment="1">
      <alignment wrapText="1"/>
    </xf>
    <xf numFmtId="2" fontId="33" fillId="0" borderId="23" xfId="0" applyNumberFormat="1" applyFont="1" applyBorder="1"/>
    <xf numFmtId="0" fontId="32" fillId="0" borderId="8" xfId="0" applyFont="1" applyBorder="1"/>
    <xf numFmtId="3" fontId="33" fillId="0" borderId="23" xfId="0" applyNumberFormat="1" applyFont="1" applyBorder="1"/>
    <xf numFmtId="165" fontId="33" fillId="0" borderId="23" xfId="0" applyNumberFormat="1" applyFont="1" applyBorder="1"/>
    <xf numFmtId="2" fontId="34" fillId="0" borderId="0" xfId="0" applyNumberFormat="1" applyFont="1"/>
    <xf numFmtId="165" fontId="19" fillId="0" borderId="0" xfId="0" applyNumberFormat="1" applyFont="1"/>
    <xf numFmtId="2" fontId="19" fillId="0" borderId="0" xfId="0" applyNumberFormat="1" applyFont="1"/>
    <xf numFmtId="0" fontId="38" fillId="15" borderId="0" xfId="0" applyFont="1" applyFill="1" applyAlignment="1">
      <alignment horizontal="center" vertical="top"/>
    </xf>
    <xf numFmtId="0" fontId="19" fillId="15" borderId="0" xfId="0" applyFont="1" applyFill="1" applyAlignment="1">
      <alignment vertical="top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 wrapText="1"/>
    </xf>
    <xf numFmtId="0" fontId="30" fillId="0" borderId="0" xfId="0" applyFont="1" applyAlignment="1">
      <alignment horizontal="left"/>
    </xf>
    <xf numFmtId="0" fontId="41" fillId="0" borderId="0" xfId="0" applyFont="1" applyAlignment="1">
      <alignment wrapText="1"/>
    </xf>
    <xf numFmtId="0" fontId="42" fillId="0" borderId="0" xfId="0" applyFont="1" applyAlignment="1">
      <alignment horizontal="left" indent="1"/>
    </xf>
    <xf numFmtId="0" fontId="25" fillId="0" borderId="0" xfId="12" applyAlignment="1">
      <alignment horizontal="left" indent="1"/>
    </xf>
    <xf numFmtId="0" fontId="43" fillId="0" borderId="0" xfId="0" applyFont="1" applyAlignment="1">
      <alignment horizontal="left" indent="1"/>
    </xf>
    <xf numFmtId="0" fontId="44" fillId="0" borderId="0" xfId="0" applyFont="1"/>
    <xf numFmtId="10" fontId="45" fillId="0" borderId="0" xfId="0" applyNumberFormat="1" applyFont="1"/>
    <xf numFmtId="165" fontId="19" fillId="0" borderId="0" xfId="2" applyNumberFormat="1" applyFont="1"/>
    <xf numFmtId="0" fontId="22" fillId="9" borderId="0" xfId="7" applyFill="1"/>
    <xf numFmtId="180" fontId="22" fillId="0" borderId="0" xfId="7" applyNumberFormat="1"/>
    <xf numFmtId="179" fontId="0" fillId="0" borderId="0" xfId="0" applyNumberFormat="1"/>
    <xf numFmtId="179" fontId="5" fillId="2" borderId="0" xfId="0" applyNumberFormat="1" applyFont="1" applyFill="1"/>
    <xf numFmtId="179" fontId="5" fillId="2" borderId="0" xfId="1" applyNumberFormat="1" applyFont="1" applyFill="1" applyBorder="1"/>
    <xf numFmtId="167" fontId="22" fillId="0" borderId="0" xfId="7" applyNumberFormat="1"/>
    <xf numFmtId="179" fontId="2" fillId="2" borderId="7" xfId="0" applyNumberFormat="1" applyFont="1" applyFill="1" applyBorder="1"/>
    <xf numFmtId="179" fontId="2" fillId="2" borderId="12" xfId="0" applyNumberFormat="1" applyFont="1" applyFill="1" applyBorder="1"/>
    <xf numFmtId="0" fontId="26" fillId="0" borderId="0" xfId="7" applyFont="1"/>
    <xf numFmtId="0" fontId="4" fillId="0" borderId="11" xfId="7" applyFont="1" applyBorder="1"/>
    <xf numFmtId="169" fontId="22" fillId="0" borderId="0" xfId="7" applyNumberFormat="1"/>
    <xf numFmtId="181" fontId="22" fillId="0" borderId="0" xfId="7" applyNumberFormat="1"/>
    <xf numFmtId="165" fontId="4" fillId="0" borderId="0" xfId="2" applyNumberFormat="1" applyFont="1"/>
    <xf numFmtId="0" fontId="4" fillId="9" borderId="0" xfId="7" applyFont="1" applyFill="1"/>
    <xf numFmtId="165" fontId="22" fillId="0" borderId="0" xfId="7" applyNumberFormat="1"/>
    <xf numFmtId="10" fontId="22" fillId="0" borderId="0" xfId="7" applyNumberFormat="1"/>
    <xf numFmtId="0" fontId="46" fillId="0" borderId="0" xfId="0" applyFont="1"/>
    <xf numFmtId="0" fontId="47" fillId="0" borderId="0" xfId="0" applyFont="1"/>
    <xf numFmtId="177" fontId="22" fillId="18" borderId="0" xfId="1" applyNumberFormat="1" applyFont="1" applyFill="1"/>
    <xf numFmtId="164" fontId="12" fillId="18" borderId="0" xfId="1" applyNumberFormat="1" applyFont="1" applyFill="1"/>
    <xf numFmtId="177" fontId="5" fillId="8" borderId="0" xfId="1" applyNumberFormat="1" applyFont="1" applyFill="1"/>
    <xf numFmtId="164" fontId="5" fillId="8" borderId="0" xfId="1" applyNumberFormat="1" applyFont="1" applyFill="1"/>
    <xf numFmtId="165" fontId="0" fillId="18" borderId="0" xfId="2" applyNumberFormat="1" applyFont="1" applyFill="1" applyBorder="1"/>
    <xf numFmtId="43" fontId="4" fillId="0" borderId="10" xfId="1" applyNumberFormat="1" applyFont="1" applyBorder="1"/>
    <xf numFmtId="0" fontId="5" fillId="3" borderId="0" xfId="0" applyFont="1" applyFill="1"/>
    <xf numFmtId="165" fontId="5" fillId="3" borderId="0" xfId="2" applyNumberFormat="1" applyFont="1" applyFill="1"/>
    <xf numFmtId="178" fontId="5" fillId="3" borderId="0" xfId="2" applyNumberFormat="1" applyFont="1" applyFill="1"/>
    <xf numFmtId="10" fontId="0" fillId="2" borderId="0" xfId="0" applyNumberFormat="1" applyFill="1"/>
    <xf numFmtId="0" fontId="48" fillId="2" borderId="0" xfId="0" applyFont="1" applyFill="1"/>
    <xf numFmtId="0" fontId="49" fillId="2" borderId="0" xfId="0" applyFont="1" applyFill="1"/>
    <xf numFmtId="170" fontId="50" fillId="2" borderId="0" xfId="1" applyNumberFormat="1" applyFont="1" applyFill="1"/>
    <xf numFmtId="0" fontId="19" fillId="0" borderId="0" xfId="0" applyFont="1" applyAlignment="1">
      <alignment wrapText="1"/>
    </xf>
    <xf numFmtId="43" fontId="5" fillId="19" borderId="0" xfId="0" applyNumberFormat="1" applyFont="1" applyFill="1"/>
    <xf numFmtId="165" fontId="2" fillId="5" borderId="0" xfId="2" applyNumberFormat="1" applyFont="1" applyFill="1"/>
    <xf numFmtId="43" fontId="11" fillId="5" borderId="0" xfId="0" applyNumberFormat="1" applyFont="1" applyFill="1"/>
    <xf numFmtId="43" fontId="12" fillId="5" borderId="0" xfId="0" applyNumberFormat="1" applyFont="1" applyFill="1"/>
    <xf numFmtId="43" fontId="12" fillId="5" borderId="0" xfId="1" applyNumberFormat="1" applyFont="1" applyFill="1" applyBorder="1"/>
    <xf numFmtId="165" fontId="0" fillId="0" borderId="0" xfId="0" applyNumberFormat="1"/>
    <xf numFmtId="178" fontId="0" fillId="0" borderId="0" xfId="0" applyNumberFormat="1"/>
    <xf numFmtId="0" fontId="11" fillId="5" borderId="0" xfId="0" applyFont="1" applyFill="1"/>
    <xf numFmtId="0" fontId="11" fillId="20" borderId="15" xfId="0" applyFont="1" applyFill="1" applyBorder="1"/>
    <xf numFmtId="0" fontId="11" fillId="20" borderId="15" xfId="0" applyFont="1" applyFill="1" applyBorder="1" applyAlignment="1">
      <alignment wrapText="1"/>
    </xf>
    <xf numFmtId="0" fontId="11" fillId="20" borderId="17" xfId="0" applyFont="1" applyFill="1" applyBorder="1" applyAlignment="1">
      <alignment wrapText="1"/>
    </xf>
    <xf numFmtId="0" fontId="11" fillId="20" borderId="16" xfId="0" applyFont="1" applyFill="1" applyBorder="1" applyAlignment="1">
      <alignment wrapText="1"/>
    </xf>
    <xf numFmtId="164" fontId="12" fillId="20" borderId="8" xfId="0" applyNumberFormat="1" applyFont="1" applyFill="1" applyBorder="1"/>
    <xf numFmtId="169" fontId="2" fillId="20" borderId="6" xfId="0" applyNumberFormat="1" applyFont="1" applyFill="1" applyBorder="1"/>
    <xf numFmtId="0" fontId="2" fillId="20" borderId="7" xfId="0" applyFont="1" applyFill="1" applyBorder="1"/>
    <xf numFmtId="169" fontId="2" fillId="20" borderId="0" xfId="0" applyNumberFormat="1" applyFont="1" applyFill="1"/>
    <xf numFmtId="0" fontId="12" fillId="20" borderId="8" xfId="0" applyFont="1" applyFill="1" applyBorder="1"/>
    <xf numFmtId="0" fontId="2" fillId="20" borderId="12" xfId="0" applyFont="1" applyFill="1" applyBorder="1"/>
    <xf numFmtId="169" fontId="2" fillId="20" borderId="11" xfId="0" applyNumberFormat="1" applyFont="1" applyFill="1" applyBorder="1"/>
    <xf numFmtId="16" fontId="0" fillId="0" borderId="0" xfId="0" applyNumberForma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65" fontId="5" fillId="2" borderId="9" xfId="2" applyNumberFormat="1" applyFont="1" applyFill="1" applyBorder="1"/>
    <xf numFmtId="166" fontId="5" fillId="2" borderId="0" xfId="1" applyNumberFormat="1" applyFont="1" applyFill="1"/>
    <xf numFmtId="2" fontId="0" fillId="2" borderId="0" xfId="0" applyNumberFormat="1" applyFill="1"/>
    <xf numFmtId="182" fontId="2" fillId="21" borderId="0" xfId="1" applyNumberFormat="1" applyFont="1" applyFill="1"/>
    <xf numFmtId="9" fontId="5" fillId="3" borderId="0" xfId="2" applyFont="1" applyFill="1"/>
    <xf numFmtId="165" fontId="0" fillId="3" borderId="0" xfId="2" applyNumberFormat="1" applyFont="1" applyFill="1"/>
    <xf numFmtId="168" fontId="3" fillId="0" borderId="0" xfId="0" applyNumberFormat="1" applyFont="1"/>
    <xf numFmtId="169" fontId="11" fillId="20" borderId="6" xfId="0" applyNumberFormat="1" applyFont="1" applyFill="1" applyBorder="1"/>
    <xf numFmtId="2" fontId="3" fillId="2" borderId="0" xfId="0" applyNumberFormat="1" applyFont="1" applyFill="1"/>
    <xf numFmtId="169" fontId="11" fillId="20" borderId="0" xfId="0" applyNumberFormat="1" applyFont="1" applyFill="1"/>
    <xf numFmtId="0" fontId="11" fillId="20" borderId="7" xfId="0" applyFont="1" applyFill="1" applyBorder="1"/>
    <xf numFmtId="182" fontId="11" fillId="21" borderId="0" xfId="1" applyNumberFormat="1" applyFont="1" applyFill="1"/>
    <xf numFmtId="2" fontId="3" fillId="0" borderId="0" xfId="0" applyNumberFormat="1" applyFont="1"/>
    <xf numFmtId="174" fontId="2" fillId="21" borderId="0" xfId="1" applyNumberFormat="1" applyFont="1" applyFill="1"/>
    <xf numFmtId="174" fontId="0" fillId="0" borderId="0" xfId="0" applyNumberFormat="1" applyBorder="1"/>
    <xf numFmtId="2" fontId="0" fillId="20" borderId="7" xfId="0" applyNumberFormat="1" applyFont="1" applyFill="1" applyBorder="1"/>
    <xf numFmtId="2" fontId="3" fillId="20" borderId="7" xfId="0" applyNumberFormat="1" applyFont="1" applyFill="1" applyBorder="1"/>
    <xf numFmtId="0" fontId="2" fillId="22" borderId="0" xfId="0" applyFont="1" applyFill="1"/>
    <xf numFmtId="164" fontId="2" fillId="22" borderId="0" xfId="1" applyNumberFormat="1" applyFont="1" applyFill="1"/>
    <xf numFmtId="43" fontId="2" fillId="22" borderId="0" xfId="0" applyNumberFormat="1" applyFont="1" applyFill="1"/>
    <xf numFmtId="164" fontId="2" fillId="22" borderId="0" xfId="0" applyNumberFormat="1" applyFont="1" applyFill="1"/>
    <xf numFmtId="165" fontId="0" fillId="0" borderId="0" xfId="0" applyNumberFormat="1" applyAlignment="1">
      <alignment wrapText="1"/>
    </xf>
    <xf numFmtId="183" fontId="50" fillId="2" borderId="0" xfId="1" applyNumberFormat="1" applyFont="1" applyFill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5" fillId="0" borderId="0" xfId="0" applyFont="1"/>
    <xf numFmtId="3" fontId="67" fillId="0" borderId="0" xfId="0" applyNumberFormat="1" applyFont="1"/>
    <xf numFmtId="0" fontId="67" fillId="0" borderId="0" xfId="0" applyFont="1"/>
    <xf numFmtId="0" fontId="66" fillId="0" borderId="0" xfId="0" applyFont="1"/>
    <xf numFmtId="0" fontId="68" fillId="0" borderId="0" xfId="0" applyFont="1"/>
    <xf numFmtId="0" fontId="60" fillId="0" borderId="0" xfId="0" applyFont="1"/>
    <xf numFmtId="0" fontId="0" fillId="0" borderId="0" xfId="0"/>
    <xf numFmtId="0" fontId="64" fillId="0" borderId="0" xfId="0" applyFont="1"/>
    <xf numFmtId="3" fontId="29" fillId="12" borderId="15" xfId="0" applyNumberFormat="1" applyFont="1" applyFill="1" applyBorder="1" applyAlignment="1">
      <alignment horizontal="center"/>
    </xf>
    <xf numFmtId="3" fontId="29" fillId="12" borderId="16" xfId="0" applyNumberFormat="1" applyFont="1" applyFill="1" applyBorder="1" applyAlignment="1">
      <alignment horizontal="center"/>
    </xf>
    <xf numFmtId="3" fontId="29" fillId="12" borderId="17" xfId="0" applyNumberFormat="1" applyFont="1" applyFill="1" applyBorder="1" applyAlignment="1">
      <alignment horizontal="center"/>
    </xf>
    <xf numFmtId="0" fontId="38" fillId="15" borderId="4" xfId="0" applyFont="1" applyFill="1" applyBorder="1" applyAlignment="1">
      <alignment horizontal="center" vertical="top"/>
    </xf>
    <xf numFmtId="0" fontId="38" fillId="15" borderId="21" xfId="0" applyFont="1" applyFill="1" applyBorder="1" applyAlignment="1">
      <alignment horizontal="center" vertical="top"/>
    </xf>
    <xf numFmtId="0" fontId="38" fillId="15" borderId="32" xfId="0" applyFont="1" applyFill="1" applyBorder="1" applyAlignment="1">
      <alignment horizontal="center" vertical="top"/>
    </xf>
    <xf numFmtId="0" fontId="38" fillId="15" borderId="33" xfId="0" applyFont="1" applyFill="1" applyBorder="1" applyAlignment="1">
      <alignment horizontal="center" vertical="top"/>
    </xf>
    <xf numFmtId="0" fontId="29" fillId="12" borderId="15" xfId="0" applyFont="1" applyFill="1" applyBorder="1" applyAlignment="1">
      <alignment horizontal="center"/>
    </xf>
    <xf numFmtId="0" fontId="29" fillId="12" borderId="16" xfId="0" applyFont="1" applyFill="1" applyBorder="1" applyAlignment="1">
      <alignment horizontal="center"/>
    </xf>
    <xf numFmtId="0" fontId="29" fillId="12" borderId="26" xfId="0" applyFont="1" applyFill="1" applyBorder="1" applyAlignment="1">
      <alignment horizontal="center"/>
    </xf>
    <xf numFmtId="9" fontId="0" fillId="0" borderId="0" xfId="2" applyFont="1" applyBorder="1"/>
  </cellXfs>
  <cellStyles count="34">
    <cellStyle name="Comma" xfId="1" builtinId="3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/>
    <cellStyle name="Normal" xfId="0" builtinId="0"/>
    <cellStyle name="Normal 2" xfId="7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 Degree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HDD_CDD!$B$2</c:f>
              <c:strCache>
                <c:ptCount val="1"/>
                <c:pt idx="0">
                  <c:v>HDD (2010-2020)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HDD_CDD!$A$3:$A$18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HDD_CDD!$B$3:$B$18</c:f>
              <c:numCache>
                <c:formatCode>#,##0.0_);\(#,##0.0\)</c:formatCode>
                <c:ptCount val="16"/>
                <c:pt idx="0">
                  <c:v>4135.32</c:v>
                </c:pt>
                <c:pt idx="1">
                  <c:v>3777.66</c:v>
                </c:pt>
                <c:pt idx="2">
                  <c:v>2921.22</c:v>
                </c:pt>
                <c:pt idx="3">
                  <c:v>2876.22</c:v>
                </c:pt>
                <c:pt idx="4">
                  <c:v>2998.98</c:v>
                </c:pt>
                <c:pt idx="5">
                  <c:v>1468.26</c:v>
                </c:pt>
                <c:pt idx="6">
                  <c:v>1242.9</c:v>
                </c:pt>
                <c:pt idx="7">
                  <c:v>1262.34</c:v>
                </c:pt>
                <c:pt idx="8">
                  <c:v>1377.18</c:v>
                </c:pt>
                <c:pt idx="9">
                  <c:v>1583.424</c:v>
                </c:pt>
                <c:pt idx="10">
                  <c:v>2568.42</c:v>
                </c:pt>
                <c:pt idx="11">
                  <c:v>2352.78</c:v>
                </c:pt>
                <c:pt idx="12">
                  <c:v>2185.74</c:v>
                </c:pt>
                <c:pt idx="13">
                  <c:v>2113.02</c:v>
                </c:pt>
                <c:pt idx="14">
                  <c:v>980.856</c:v>
                </c:pt>
                <c:pt idx="15">
                  <c:v>5842.62</c:v>
                </c:pt>
              </c:numCache>
            </c:numRef>
          </c:val>
        </c:ser>
        <c:ser>
          <c:idx val="1"/>
          <c:order val="1"/>
          <c:tx>
            <c:strRef>
              <c:f>HDD_CDD!$C$2</c:f>
              <c:strCache>
                <c:ptCount val="1"/>
                <c:pt idx="0">
                  <c:v>HDD (2045-2055)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HDD_CDD!$A$3:$A$18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HDD_CDD!$C$3:$C$18</c:f>
              <c:numCache>
                <c:formatCode>#,##0.0_);\(#,##0.0\)</c:formatCode>
                <c:ptCount val="16"/>
                <c:pt idx="0">
                  <c:v>3463.74</c:v>
                </c:pt>
                <c:pt idx="1">
                  <c:v>3218.76</c:v>
                </c:pt>
                <c:pt idx="2">
                  <c:v>2299.32</c:v>
                </c:pt>
                <c:pt idx="3">
                  <c:v>2332.08</c:v>
                </c:pt>
                <c:pt idx="4">
                  <c:v>2325.6</c:v>
                </c:pt>
                <c:pt idx="5">
                  <c:v>1023.876</c:v>
                </c:pt>
                <c:pt idx="6">
                  <c:v>796.8599999999999</c:v>
                </c:pt>
                <c:pt idx="7">
                  <c:v>821.8440000000001</c:v>
                </c:pt>
                <c:pt idx="8">
                  <c:v>897.426</c:v>
                </c:pt>
                <c:pt idx="9">
                  <c:v>1056.726</c:v>
                </c:pt>
                <c:pt idx="10">
                  <c:v>2129.76</c:v>
                </c:pt>
                <c:pt idx="11">
                  <c:v>1907.46</c:v>
                </c:pt>
                <c:pt idx="12">
                  <c:v>1750.23</c:v>
                </c:pt>
                <c:pt idx="13">
                  <c:v>1592.226</c:v>
                </c:pt>
                <c:pt idx="14">
                  <c:v>628.9019999999999</c:v>
                </c:pt>
                <c:pt idx="15">
                  <c:v>5016.78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960592"/>
        <c:axId val="1960151024"/>
      </c:barChart>
      <c:catAx>
        <c:axId val="19609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51024"/>
        <c:crosses val="autoZero"/>
        <c:auto val="1"/>
        <c:lblAlgn val="ctr"/>
        <c:lblOffset val="100"/>
        <c:noMultiLvlLbl val="0"/>
      </c:catAx>
      <c:valAx>
        <c:axId val="1960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Degree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HDD_CDD!$F$2</c:f>
              <c:strCache>
                <c:ptCount val="1"/>
                <c:pt idx="0">
                  <c:v>CDD (2010-2020)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HDD_CDD!$F$3:$F$18</c:f>
              <c:numCache>
                <c:formatCode>_(* #,##0_);_(* \(#,##0\);_(* "-"??_);_(@_)</c:formatCode>
                <c:ptCount val="16"/>
                <c:pt idx="0">
                  <c:v>32.7762</c:v>
                </c:pt>
                <c:pt idx="1">
                  <c:v>412.236</c:v>
                </c:pt>
                <c:pt idx="2">
                  <c:v>145.809</c:v>
                </c:pt>
                <c:pt idx="3">
                  <c:v>653.058</c:v>
                </c:pt>
                <c:pt idx="4">
                  <c:v>136.7658</c:v>
                </c:pt>
                <c:pt idx="5">
                  <c:v>684.1079999999999</c:v>
                </c:pt>
                <c:pt idx="6">
                  <c:v>1027.908</c:v>
                </c:pt>
                <c:pt idx="7">
                  <c:v>1164.87</c:v>
                </c:pt>
                <c:pt idx="8">
                  <c:v>1413.342</c:v>
                </c:pt>
                <c:pt idx="9">
                  <c:v>1697.508</c:v>
                </c:pt>
                <c:pt idx="10">
                  <c:v>1758.492</c:v>
                </c:pt>
                <c:pt idx="11">
                  <c:v>1585.962</c:v>
                </c:pt>
                <c:pt idx="12">
                  <c:v>2140.02</c:v>
                </c:pt>
                <c:pt idx="13">
                  <c:v>2827.62</c:v>
                </c:pt>
                <c:pt idx="14">
                  <c:v>4190.76</c:v>
                </c:pt>
                <c:pt idx="15">
                  <c:v>289.494</c:v>
                </c:pt>
              </c:numCache>
            </c:numRef>
          </c:val>
        </c:ser>
        <c:ser>
          <c:idx val="1"/>
          <c:order val="1"/>
          <c:tx>
            <c:strRef>
              <c:f>HDD_CDD!$G$2</c:f>
              <c:strCache>
                <c:ptCount val="1"/>
                <c:pt idx="0">
                  <c:v>CDD (2045-2055)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HDD_CDD!$G$3:$G$18</c:f>
              <c:numCache>
                <c:formatCode>_(* #,##0_);_(* \(#,##0\);_(* "-"??_);_(@_)</c:formatCode>
                <c:ptCount val="16"/>
                <c:pt idx="0">
                  <c:v>106.6482</c:v>
                </c:pt>
                <c:pt idx="1">
                  <c:v>703.602</c:v>
                </c:pt>
                <c:pt idx="2">
                  <c:v>349.4519999999999</c:v>
                </c:pt>
                <c:pt idx="3">
                  <c:v>1056.546</c:v>
                </c:pt>
                <c:pt idx="4">
                  <c:v>349.38</c:v>
                </c:pt>
                <c:pt idx="5">
                  <c:v>1117.89</c:v>
                </c:pt>
                <c:pt idx="6">
                  <c:v>1523.502</c:v>
                </c:pt>
                <c:pt idx="7">
                  <c:v>1725.03</c:v>
                </c:pt>
                <c:pt idx="8">
                  <c:v>2072.7</c:v>
                </c:pt>
                <c:pt idx="9">
                  <c:v>2306.88</c:v>
                </c:pt>
                <c:pt idx="10">
                  <c:v>2309.76</c:v>
                </c:pt>
                <c:pt idx="11">
                  <c:v>2147.58</c:v>
                </c:pt>
                <c:pt idx="12">
                  <c:v>2758.5</c:v>
                </c:pt>
                <c:pt idx="13">
                  <c:v>3490.56</c:v>
                </c:pt>
                <c:pt idx="14">
                  <c:v>4965.84</c:v>
                </c:pt>
                <c:pt idx="15">
                  <c:v>581.8140000000001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296992"/>
        <c:axId val="1960301584"/>
      </c:barChart>
      <c:catAx>
        <c:axId val="196029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01584"/>
        <c:crosses val="autoZero"/>
        <c:auto val="1"/>
        <c:lblAlgn val="ctr"/>
        <c:lblOffset val="100"/>
        <c:noMultiLvlLbl val="0"/>
      </c:catAx>
      <c:valAx>
        <c:axId val="1960301584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- values for Residential Buildings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UVals!$C$44</c:f>
              <c:strCache>
                <c:ptCount val="1"/>
                <c:pt idx="0">
                  <c:v>Roof/Ceiling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UVals!$D$43:$M$43</c:f>
              <c:strCache>
                <c:ptCount val="10"/>
                <c:pt idx="0">
                  <c:v>Prior to 1978</c:v>
                </c:pt>
                <c:pt idx="1">
                  <c:v>1978 - 1983</c:v>
                </c:pt>
                <c:pt idx="2">
                  <c:v>1984 - 1991</c:v>
                </c:pt>
                <c:pt idx="3">
                  <c:v>1992  - 1998</c:v>
                </c:pt>
                <c:pt idx="4">
                  <c:v>1999 -2 000</c:v>
                </c:pt>
                <c:pt idx="5">
                  <c:v>2001 - 2003</c:v>
                </c:pt>
                <c:pt idx="6">
                  <c:v>2004 - 2005</c:v>
                </c:pt>
                <c:pt idx="7">
                  <c:v>2006 - 2012</c:v>
                </c:pt>
                <c:pt idx="8">
                  <c:v>2013-2016</c:v>
                </c:pt>
                <c:pt idx="9">
                  <c:v>2016-2019</c:v>
                </c:pt>
              </c:strCache>
            </c:strRef>
          </c:cat>
          <c:val>
            <c:numRef>
              <c:f>UVals!$D$44:$M$44</c:f>
              <c:numCache>
                <c:formatCode>General</c:formatCode>
                <c:ptCount val="10"/>
                <c:pt idx="0">
                  <c:v>0.079</c:v>
                </c:pt>
                <c:pt idx="1">
                  <c:v>0.049</c:v>
                </c:pt>
                <c:pt idx="2">
                  <c:v>0.049</c:v>
                </c:pt>
                <c:pt idx="3">
                  <c:v>0.049</c:v>
                </c:pt>
                <c:pt idx="4">
                  <c:v>0.049</c:v>
                </c:pt>
                <c:pt idx="5">
                  <c:v>0.049</c:v>
                </c:pt>
                <c:pt idx="6">
                  <c:v>0.049</c:v>
                </c:pt>
                <c:pt idx="7">
                  <c:v>0.049</c:v>
                </c:pt>
                <c:pt idx="8">
                  <c:v>0.034</c:v>
                </c:pt>
                <c:pt idx="9">
                  <c:v>0.034</c:v>
                </c:pt>
              </c:numCache>
            </c:numRef>
          </c:val>
        </c:ser>
        <c:ser>
          <c:idx val="1"/>
          <c:order val="1"/>
          <c:tx>
            <c:strRef>
              <c:f>UVals!$C$45</c:f>
              <c:strCache>
                <c:ptCount val="1"/>
                <c:pt idx="0">
                  <c:v>Wall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UVals!$D$43:$M$43</c:f>
              <c:strCache>
                <c:ptCount val="10"/>
                <c:pt idx="0">
                  <c:v>Prior to 1978</c:v>
                </c:pt>
                <c:pt idx="1">
                  <c:v>1978 - 1983</c:v>
                </c:pt>
                <c:pt idx="2">
                  <c:v>1984 - 1991</c:v>
                </c:pt>
                <c:pt idx="3">
                  <c:v>1992  - 1998</c:v>
                </c:pt>
                <c:pt idx="4">
                  <c:v>1999 -2 000</c:v>
                </c:pt>
                <c:pt idx="5">
                  <c:v>2001 - 2003</c:v>
                </c:pt>
                <c:pt idx="6">
                  <c:v>2004 - 2005</c:v>
                </c:pt>
                <c:pt idx="7">
                  <c:v>2006 - 2012</c:v>
                </c:pt>
                <c:pt idx="8">
                  <c:v>2013-2016</c:v>
                </c:pt>
                <c:pt idx="9">
                  <c:v>2016-2019</c:v>
                </c:pt>
              </c:strCache>
            </c:strRef>
          </c:cat>
          <c:val>
            <c:numRef>
              <c:f>UVals!$D$45:$M$45</c:f>
              <c:numCache>
                <c:formatCode>General</c:formatCode>
                <c:ptCount val="10"/>
                <c:pt idx="0">
                  <c:v>0.356</c:v>
                </c:pt>
                <c:pt idx="1">
                  <c:v>0.11</c:v>
                </c:pt>
                <c:pt idx="2">
                  <c:v>0.11</c:v>
                </c:pt>
                <c:pt idx="3">
                  <c:v>0.102</c:v>
                </c:pt>
                <c:pt idx="4">
                  <c:v>0.102</c:v>
                </c:pt>
                <c:pt idx="5">
                  <c:v>0.102</c:v>
                </c:pt>
                <c:pt idx="6">
                  <c:v>0.102</c:v>
                </c:pt>
                <c:pt idx="7">
                  <c:v>0.102</c:v>
                </c:pt>
                <c:pt idx="8">
                  <c:v>0.051</c:v>
                </c:pt>
                <c:pt idx="9">
                  <c:v>0.051</c:v>
                </c:pt>
              </c:numCache>
            </c:numRef>
          </c:val>
        </c:ser>
        <c:ser>
          <c:idx val="2"/>
          <c:order val="2"/>
          <c:tx>
            <c:strRef>
              <c:f>UVals!$C$46</c:f>
              <c:strCache>
                <c:ptCount val="1"/>
                <c:pt idx="0">
                  <c:v>Fenestration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UVals!$D$43:$M$43</c:f>
              <c:strCache>
                <c:ptCount val="10"/>
                <c:pt idx="0">
                  <c:v>Prior to 1978</c:v>
                </c:pt>
                <c:pt idx="1">
                  <c:v>1978 - 1983</c:v>
                </c:pt>
                <c:pt idx="2">
                  <c:v>1984 - 1991</c:v>
                </c:pt>
                <c:pt idx="3">
                  <c:v>1992  - 1998</c:v>
                </c:pt>
                <c:pt idx="4">
                  <c:v>1999 -2 000</c:v>
                </c:pt>
                <c:pt idx="5">
                  <c:v>2001 - 2003</c:v>
                </c:pt>
                <c:pt idx="6">
                  <c:v>2004 - 2005</c:v>
                </c:pt>
                <c:pt idx="7">
                  <c:v>2006 - 2012</c:v>
                </c:pt>
                <c:pt idx="8">
                  <c:v>2013-2016</c:v>
                </c:pt>
                <c:pt idx="9">
                  <c:v>2016-2019</c:v>
                </c:pt>
              </c:strCache>
            </c:strRef>
          </c:cat>
          <c:val>
            <c:numRef>
              <c:f>UVals!$D$46:$M$46</c:f>
              <c:numCache>
                <c:formatCode>General</c:formatCode>
                <c:ptCount val="1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0.5</c:v>
                </c:pt>
                <c:pt idx="9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1065568"/>
        <c:axId val="1961070368"/>
      </c:barChart>
      <c:catAx>
        <c:axId val="196106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70368"/>
        <c:crosses val="autoZero"/>
        <c:auto val="1"/>
        <c:lblAlgn val="ctr"/>
        <c:lblOffset val="100"/>
        <c:noMultiLvlLbl val="0"/>
      </c:catAx>
      <c:valAx>
        <c:axId val="19610703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RAAS 2009:</a:t>
            </a:r>
            <a:r>
              <a:rPr lang="en-US" baseline="0"/>
              <a:t> Average Annual Usage of Electricity is 6296 kWh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10"/>
              <c:pt idx="0">
                <c:v>Lighting</c:v>
              </c:pt>
              <c:pt idx="1">
                <c:v>Refrig&amp;Freezing</c:v>
              </c:pt>
              <c:pt idx="2">
                <c:v>TV,PC +OfficeEq</c:v>
              </c:pt>
              <c:pt idx="3">
                <c:v>AC</c:v>
              </c:pt>
              <c:pt idx="4">
                <c:v>Pools &amp;Spa</c:v>
              </c:pt>
              <c:pt idx="5">
                <c:v>DishWash&amp;Cooking</c:v>
              </c:pt>
              <c:pt idx="6">
                <c:v>Laundry</c:v>
              </c:pt>
              <c:pt idx="7">
                <c:v>Sp Heating</c:v>
              </c:pt>
              <c:pt idx="8">
                <c:v>Water Heating</c:v>
              </c:pt>
              <c:pt idx="9">
                <c:v>Mis</c:v>
              </c:pt>
            </c:strLit>
          </c:cat>
          <c:val>
            <c:numLit>
              <c:formatCode>General</c:formatCode>
              <c:ptCount val="10"/>
              <c:pt idx="0">
                <c:v>0.21</c:v>
              </c:pt>
              <c:pt idx="1">
                <c:v>0.2</c:v>
              </c:pt>
              <c:pt idx="2">
                <c:v>0.2</c:v>
              </c:pt>
              <c:pt idx="3">
                <c:v>0.07</c:v>
              </c:pt>
              <c:pt idx="4">
                <c:v>0.065</c:v>
              </c:pt>
              <c:pt idx="5">
                <c:v>0.065</c:v>
              </c:pt>
              <c:pt idx="6">
                <c:v>0.0355</c:v>
              </c:pt>
              <c:pt idx="7">
                <c:v>0.02</c:v>
              </c:pt>
              <c:pt idx="8">
                <c:v>0.03</c:v>
              </c:pt>
              <c:pt idx="9">
                <c:v>0.105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 Usage of Natural gas per HH (354 Therms/yr)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WaterHeating</c:v>
              </c:pt>
              <c:pt idx="1">
                <c:v>Space Heating</c:v>
              </c:pt>
              <c:pt idx="2">
                <c:v>Cooking</c:v>
              </c:pt>
              <c:pt idx="3">
                <c:v>Pools,Spa,Misc</c:v>
              </c:pt>
              <c:pt idx="4">
                <c:v>Dryer</c:v>
              </c:pt>
            </c:strLit>
          </c:cat>
          <c:val>
            <c:numLit>
              <c:formatCode>General</c:formatCode>
              <c:ptCount val="5"/>
              <c:pt idx="0">
                <c:v>0.49</c:v>
              </c:pt>
              <c:pt idx="1">
                <c:v>0.37</c:v>
              </c:pt>
              <c:pt idx="2">
                <c:v>0.07</c:v>
              </c:pt>
              <c:pt idx="3">
                <c:v>0.04</c:v>
              </c:pt>
              <c:pt idx="4">
                <c:v>0.03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Demand from Heating and Cooling</a:t>
            </a:r>
            <a:r>
              <a:rPr lang="en-US" baseline="0"/>
              <a:t>  - </a:t>
            </a:r>
          </a:p>
          <a:p>
            <a:pPr>
              <a:defRPr/>
            </a:pPr>
            <a:r>
              <a:rPr lang="en-US" baseline="0"/>
              <a:t>California Single Family Homes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Consolidated_Results!$AB$26</c:f>
              <c:strCache>
                <c:ptCount val="1"/>
                <c:pt idx="0">
                  <c:v>HP 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cat>
          <c:val>
            <c:numRef>
              <c:f>Consolidated_Results!$AC$26:$AH$26</c:f>
              <c:numCache>
                <c:formatCode>_(* #,##0_);_(* \(#,##0\);_(* "-"??_);_(@_)</c:formatCode>
                <c:ptCount val="6"/>
                <c:pt idx="0">
                  <c:v>12901.7940076563</c:v>
                </c:pt>
                <c:pt idx="1">
                  <c:v>9676.345505742223</c:v>
                </c:pt>
                <c:pt idx="2">
                  <c:v>8846.94446239289</c:v>
                </c:pt>
                <c:pt idx="3">
                  <c:v>10005.10884142284</c:v>
                </c:pt>
                <c:pt idx="4">
                  <c:v>7503.83163106713</c:v>
                </c:pt>
                <c:pt idx="5">
                  <c:v>7503.83163106713</c:v>
                </c:pt>
              </c:numCache>
            </c:numRef>
          </c:val>
        </c:ser>
        <c:ser>
          <c:idx val="2"/>
          <c:order val="2"/>
          <c:tx>
            <c:strRef>
              <c:f>Consolidated_Results!$AB$27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cat>
          <c:val>
            <c:numRef>
              <c:f>Consolidated_Results!$AC$27:$AH$27</c:f>
              <c:numCache>
                <c:formatCode>_(* #,##0_);_(* \(#,##0\);_(* "-"??_);_(@_)</c:formatCode>
                <c:ptCount val="6"/>
                <c:pt idx="0">
                  <c:v>2729.545527950194</c:v>
                </c:pt>
                <c:pt idx="1">
                  <c:v>2440.534824990764</c:v>
                </c:pt>
                <c:pt idx="2">
                  <c:v>1548.10044868817</c:v>
                </c:pt>
                <c:pt idx="3">
                  <c:v>3666.145017809879</c:v>
                </c:pt>
                <c:pt idx="4">
                  <c:v>3277.964957100604</c:v>
                </c:pt>
                <c:pt idx="5">
                  <c:v>4261.354444230785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679168"/>
        <c:axId val="1960683984"/>
      </c:barChart>
      <c:scatterChart>
        <c:scatterStyle val="lineMarker"/>
        <c:varyColors val="0"/>
        <c:ser>
          <c:idx val="0"/>
          <c:order val="0"/>
          <c:tx>
            <c:strRef>
              <c:f>Consolidated_Results!$AB$25</c:f>
              <c:strCache>
                <c:ptCount val="1"/>
                <c:pt idx="0">
                  <c:v>NG Heat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9850">
                <a:solidFill>
                  <a:srgbClr val="C00000"/>
                </a:solidFill>
              </a:ln>
              <a:effectLst/>
            </c:spPr>
          </c:marker>
          <c:xVal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xVal>
          <c:yVal>
            <c:numRef>
              <c:f>Consolidated_Results!$AC$25:$AH$25</c:f>
              <c:numCache>
                <c:formatCode>_(* #,##0_);_(* \(#,##0\);_(* "-"??_);_(@_)</c:formatCode>
                <c:ptCount val="6"/>
                <c:pt idx="0">
                  <c:v>1321.002799418734</c:v>
                </c:pt>
                <c:pt idx="1">
                  <c:v>1112.423410036829</c:v>
                </c:pt>
                <c:pt idx="2">
                  <c:v>1067.4770096313</c:v>
                </c:pt>
                <c:pt idx="3">
                  <c:v>1024.413874548414</c:v>
                </c:pt>
                <c:pt idx="4">
                  <c:v>862.664315409191</c:v>
                </c:pt>
                <c:pt idx="5">
                  <c:v>862.664315409191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00864"/>
        <c:axId val="1960692816"/>
      </c:scatterChart>
      <c:catAx>
        <c:axId val="19606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83984"/>
        <c:crosses val="autoZero"/>
        <c:auto val="1"/>
        <c:lblAlgn val="ctr"/>
        <c:lblOffset val="100"/>
        <c:noMultiLvlLbl val="0"/>
      </c:catAx>
      <c:valAx>
        <c:axId val="1960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Electrixiry</a:t>
                </a:r>
                <a:r>
                  <a:rPr lang="en-US" b="1" baseline="0"/>
                  <a:t> Demand(</a:t>
                </a:r>
                <a:r>
                  <a:rPr lang="en-US" b="1"/>
                  <a:t>GWh)</a:t>
                </a:r>
              </a:p>
            </c:rich>
          </c:tx>
          <c:layout>
            <c:manualLayout>
              <c:xMode val="edge"/>
              <c:yMode val="edge"/>
              <c:x val="0.00929613167151663"/>
              <c:y val="0.260319051983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79168"/>
        <c:crosses val="autoZero"/>
        <c:crossBetween val="between"/>
      </c:valAx>
      <c:valAx>
        <c:axId val="1960692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NG Heating Demand (MM Therms)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00864"/>
        <c:crosses val="max"/>
        <c:crossBetween val="midCat"/>
      </c:valAx>
      <c:valAx>
        <c:axId val="19607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6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GHG Emissions from Heating and Cooling</a:t>
            </a:r>
            <a:r>
              <a:rPr lang="en-US" baseline="0"/>
              <a:t>  </a:t>
            </a:r>
          </a:p>
          <a:p>
            <a:pPr>
              <a:defRPr/>
            </a:pPr>
            <a:r>
              <a:rPr lang="en-US" baseline="0"/>
              <a:t>California Single Family Homes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Consolidated_Results!$AB$26</c:f>
              <c:strCache>
                <c:ptCount val="1"/>
                <c:pt idx="0">
                  <c:v>HP 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cat>
          <c:val>
            <c:numRef>
              <c:f>Consolidated_Results!$AC$56:$AH$56</c:f>
              <c:numCache>
                <c:formatCode>_(* #,##0.00_);_(* \(#,##0.00\);_(* "-"??_);_(@_)</c:formatCode>
                <c:ptCount val="6"/>
                <c:pt idx="0">
                  <c:v>5.272816889402715</c:v>
                </c:pt>
                <c:pt idx="1">
                  <c:v>2.554583983533283</c:v>
                </c:pt>
                <c:pt idx="2">
                  <c:v>0.443221720669078</c:v>
                </c:pt>
                <c:pt idx="3">
                  <c:v>5.218198248278216</c:v>
                </c:pt>
                <c:pt idx="4">
                  <c:v>0.965477427420969</c:v>
                </c:pt>
                <c:pt idx="5">
                  <c:v>0.343906800683931</c:v>
                </c:pt>
              </c:numCache>
            </c:numRef>
          </c:val>
        </c:ser>
        <c:ser>
          <c:idx val="2"/>
          <c:order val="2"/>
          <c:tx>
            <c:strRef>
              <c:f>Consolidated_Results!$AB$27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cat>
          <c:val>
            <c:numRef>
              <c:f>Consolidated_Results!$AC$57:$AH$57</c:f>
              <c:numCache>
                <c:formatCode>_(* #,##0.00_);_(* \(#,##0.00\);_(* "-"??_);_(@_)</c:formatCode>
                <c:ptCount val="6"/>
                <c:pt idx="0">
                  <c:v>2.403693842567651</c:v>
                </c:pt>
                <c:pt idx="1">
                  <c:v>1.038943911985031</c:v>
                </c:pt>
                <c:pt idx="2">
                  <c:v>0.078210230349241</c:v>
                </c:pt>
                <c:pt idx="3">
                  <c:v>2.417024934669356</c:v>
                </c:pt>
                <c:pt idx="4">
                  <c:v>0.707413590366937</c:v>
                </c:pt>
                <c:pt idx="5">
                  <c:v>0.104770514390038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774848"/>
        <c:axId val="1960779664"/>
      </c:barChart>
      <c:scatterChart>
        <c:scatterStyle val="lineMarker"/>
        <c:varyColors val="0"/>
        <c:ser>
          <c:idx val="0"/>
          <c:order val="0"/>
          <c:tx>
            <c:strRef>
              <c:f>Consolidated_Results!$AB$25</c:f>
              <c:strCache>
                <c:ptCount val="1"/>
                <c:pt idx="0">
                  <c:v>NG Heat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9850">
                <a:solidFill>
                  <a:srgbClr val="C00000"/>
                </a:solidFill>
              </a:ln>
              <a:effectLst/>
            </c:spPr>
          </c:marker>
          <c:xVal>
            <c:strRef>
              <c:f>Consolidated_Results!$AC$24:$AH$24</c:f>
              <c:strCache>
                <c:ptCount val="6"/>
                <c:pt idx="0">
                  <c:v>Current Demand</c:v>
                </c:pt>
                <c:pt idx="1">
                  <c:v>Mod EE</c:v>
                </c:pt>
                <c:pt idx="2">
                  <c:v>Agg EE</c:v>
                </c:pt>
                <c:pt idx="3">
                  <c:v>No EE (With CC)</c:v>
                </c:pt>
                <c:pt idx="4">
                  <c:v>Mod EE (With CC)</c:v>
                </c:pt>
                <c:pt idx="5">
                  <c:v>Agg EE (With CC)</c:v>
                </c:pt>
              </c:strCache>
            </c:strRef>
          </c:xVal>
          <c:yVal>
            <c:numRef>
              <c:f>Consolidated_Results!$AC$55:$AH$55</c:f>
              <c:numCache>
                <c:formatCode>_(* #,##0.00_);_(* \(#,##0.00\);_(* "-"??_);_(@_)</c:formatCode>
                <c:ptCount val="6"/>
                <c:pt idx="0">
                  <c:v>8.056159115167034</c:v>
                </c:pt>
                <c:pt idx="1">
                  <c:v>6.784133991719614</c:v>
                </c:pt>
                <c:pt idx="2">
                  <c:v>6.510027567811744</c:v>
                </c:pt>
                <c:pt idx="3">
                  <c:v>7.927298685545523</c:v>
                </c:pt>
                <c:pt idx="4">
                  <c:v>5.26097370192638</c:v>
                </c:pt>
                <c:pt idx="5">
                  <c:v>5.04840910790915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97040"/>
        <c:axId val="1960788624"/>
      </c:scatterChart>
      <c:catAx>
        <c:axId val="19607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79664"/>
        <c:crosses val="autoZero"/>
        <c:auto val="1"/>
        <c:lblAlgn val="ctr"/>
        <c:lblOffset val="100"/>
        <c:noMultiLvlLbl val="0"/>
      </c:catAx>
      <c:valAx>
        <c:axId val="19607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Emissions</a:t>
                </a:r>
                <a:r>
                  <a:rPr lang="en-US" b="1" baseline="0"/>
                  <a:t> from Electricity demand (</a:t>
                </a:r>
                <a:r>
                  <a:rPr lang="en-US" b="1"/>
                  <a:t>Million Tons)</a:t>
                </a:r>
              </a:p>
            </c:rich>
          </c:tx>
          <c:layout>
            <c:manualLayout>
              <c:xMode val="edge"/>
              <c:yMode val="edge"/>
              <c:x val="0.0139153425939015"/>
              <c:y val="0.182190687696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74848"/>
        <c:crosses val="autoZero"/>
        <c:crossBetween val="between"/>
      </c:valAx>
      <c:valAx>
        <c:axId val="196078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Emissions</a:t>
                </a:r>
                <a:r>
                  <a:rPr lang="en-US" b="1" baseline="0"/>
                  <a:t> from NG Demand( Million Tons)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956571658025146"/>
              <c:y val="0.199720135235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97040"/>
        <c:crosses val="max"/>
        <c:crossBetween val="midCat"/>
      </c:valAx>
      <c:valAx>
        <c:axId val="196079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78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dnav/ng/TblDefs/ng_cons_sum_tbldef2.as" TargetMode="External"/><Relationship Id="rId4" Type="http://schemas.openxmlformats.org/officeDocument/2006/relationships/image" Target="../media/image3.jpeg"/><Relationship Id="rId5" Type="http://schemas.openxmlformats.org/officeDocument/2006/relationships/image" Target="../media/image4.gif"/><Relationship Id="rId6" Type="http://schemas.openxmlformats.org/officeDocument/2006/relationships/hyperlink" Target="https://www.eia.gov/dnav/ng/ng_cons_sum_dcu_nus_m.ht" TargetMode="External"/><Relationship Id="rId7" Type="http://schemas.openxmlformats.org/officeDocument/2006/relationships/image" Target="../media/image5.jpeg"/><Relationship Id="rId8" Type="http://schemas.openxmlformats.org/officeDocument/2006/relationships/hyperlink" Target="https://www.eia.gov/dnav/ng/ng_cons_sum_a_EPG0_VC0_mmcf_a.ht" TargetMode="External"/><Relationship Id="rId9" Type="http://schemas.openxmlformats.org/officeDocument/2006/relationships/image" Target="../media/image6.jpeg"/><Relationship Id="rId1" Type="http://schemas.openxmlformats.org/officeDocument/2006/relationships/hyperlink" Target="https://www.eia.gov/dnav/ng/xls/NG_CONS_SUM_DCU_SCA_A.xl" TargetMode="External"/><Relationship Id="rId2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175846</xdr:colOff>
      <xdr:row>18</xdr:row>
      <xdr:rowOff>191478</xdr:rowOff>
    </xdr:from>
    <xdr:to>
      <xdr:col>25</xdr:col>
      <xdr:colOff>459154</xdr:colOff>
      <xdr:row>26</xdr:row>
      <xdr:rowOff>218832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488461</xdr:colOff>
      <xdr:row>11</xdr:row>
      <xdr:rowOff>103554</xdr:rowOff>
    </xdr:from>
    <xdr:to>
      <xdr:col>43</xdr:col>
      <xdr:colOff>78154</xdr:colOff>
      <xdr:row>23</xdr:row>
      <xdr:rowOff>316523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761998</xdr:colOff>
      <xdr:row>37</xdr:row>
      <xdr:rowOff>110064</xdr:rowOff>
    </xdr:from>
    <xdr:to>
      <xdr:col>21</xdr:col>
      <xdr:colOff>391583</xdr:colOff>
      <xdr:row>56</xdr:row>
      <xdr:rowOff>63498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13</xdr:row>
      <xdr:rowOff>0</xdr:rowOff>
    </xdr:from>
    <xdr:to>
      <xdr:col>31</xdr:col>
      <xdr:colOff>673895</xdr:colOff>
      <xdr:row>27</xdr:row>
      <xdr:rowOff>200891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0" y="3543300"/>
          <a:ext cx="8103394" cy="3644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203200</xdr:colOff>
      <xdr:row>2</xdr:row>
      <xdr:rowOff>177800</xdr:rowOff>
    </xdr:to>
    <xdr:pic>
      <xdr:nvPicPr>
        <xdr:cNvPr id="2" name="Picture 1" descr="ownload Series Histor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"/>
          <a:ext cx="203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177800</xdr:rowOff>
    </xdr:to>
    <xdr:pic>
      <xdr:nvPicPr>
        <xdr:cNvPr id="3" name="Picture 2" descr="efinitions, Sources &amp; Notes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06400"/>
          <a:ext cx="203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12700</xdr:colOff>
      <xdr:row>5</xdr:row>
      <xdr:rowOff>12700</xdr:rowOff>
    </xdr:to>
    <xdr:pic>
      <xdr:nvPicPr>
        <xdr:cNvPr id="4" name="Picture 3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127000</xdr:colOff>
      <xdr:row>5</xdr:row>
      <xdr:rowOff>127000</xdr:rowOff>
    </xdr:to>
    <xdr:pic>
      <xdr:nvPicPr>
        <xdr:cNvPr id="5" name="Picture 4" descr="https://www.eia.gov/dnav/ng/img/Radio_A9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41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</xdr:colOff>
      <xdr:row>5</xdr:row>
      <xdr:rowOff>12700</xdr:rowOff>
    </xdr:to>
    <xdr:pic>
      <xdr:nvPicPr>
        <xdr:cNvPr id="6" name="Picture 5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</xdr:colOff>
      <xdr:row>5</xdr:row>
      <xdr:rowOff>12700</xdr:rowOff>
    </xdr:to>
    <xdr:pic>
      <xdr:nvPicPr>
        <xdr:cNvPr id="7" name="Picture 6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127000</xdr:colOff>
      <xdr:row>5</xdr:row>
      <xdr:rowOff>127000</xdr:rowOff>
    </xdr:to>
    <xdr:pic>
      <xdr:nvPicPr>
        <xdr:cNvPr id="8" name="Picture 7" descr="https://www.eia.gov/dnav/ng/img/Radio_I9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0414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12700</xdr:colOff>
      <xdr:row>5</xdr:row>
      <xdr:rowOff>12700</xdr:rowOff>
    </xdr:to>
    <xdr:pic>
      <xdr:nvPicPr>
        <xdr:cNvPr id="9" name="Picture 8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12700</xdr:colOff>
      <xdr:row>5</xdr:row>
      <xdr:rowOff>12700</xdr:rowOff>
    </xdr:to>
    <xdr:pic>
      <xdr:nvPicPr>
        <xdr:cNvPr id="10" name="Picture 9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12700</xdr:colOff>
      <xdr:row>7</xdr:row>
      <xdr:rowOff>12700</xdr:rowOff>
    </xdr:to>
    <xdr:pic>
      <xdr:nvPicPr>
        <xdr:cNvPr id="11" name="Picture 10" descr="https://www.eia.gov/dnav/ng/img/spacer_transp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369095</xdr:colOff>
      <xdr:row>6</xdr:row>
      <xdr:rowOff>182165</xdr:rowOff>
    </xdr:from>
    <xdr:to>
      <xdr:col>22</xdr:col>
      <xdr:colOff>238126</xdr:colOff>
      <xdr:row>17</xdr:row>
      <xdr:rowOff>44052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250031</xdr:colOff>
      <xdr:row>6</xdr:row>
      <xdr:rowOff>170257</xdr:rowOff>
    </xdr:from>
    <xdr:to>
      <xdr:col>30</xdr:col>
      <xdr:colOff>190500</xdr:colOff>
      <xdr:row>17</xdr:row>
      <xdr:rowOff>32144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702408</xdr:colOff>
      <xdr:row>28</xdr:row>
      <xdr:rowOff>137747</xdr:rowOff>
    </xdr:from>
    <xdr:to>
      <xdr:col>34</xdr:col>
      <xdr:colOff>341923</xdr:colOff>
      <xdr:row>50</xdr:row>
      <xdr:rowOff>87923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61</xdr:row>
      <xdr:rowOff>0</xdr:rowOff>
    </xdr:from>
    <xdr:to>
      <xdr:col>34</xdr:col>
      <xdr:colOff>156308</xdr:colOff>
      <xdr:row>80</xdr:row>
      <xdr:rowOff>107461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hyperlink" Target="http://www.dof.ca.gov/research/demographic/reports/estimates/e-5/2011-20/view.php" TargetMode="External"/><Relationship Id="rId2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ca.gov/2018publications/CEC-400-2018-020/CEC-400-2018-020-CMF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ia.gov/opendata/qb.php?sdid=NG.N3035CA2.A" TargetMode="External"/><Relationship Id="rId12" Type="http://schemas.openxmlformats.org/officeDocument/2006/relationships/hyperlink" Target="https://www.eia.gov/opendata/qb.php?sdid=NG.NA1570_SCA_2.A" TargetMode="External"/><Relationship Id="rId13" Type="http://schemas.openxmlformats.org/officeDocument/2006/relationships/hyperlink" Target="https://www.eia.gov/opendata/qb.php?sdid=NG.N3045CA2.A" TargetMode="External"/><Relationship Id="rId14" Type="http://schemas.openxmlformats.org/officeDocument/2006/relationships/hyperlink" Target="https://www.eia.gov/dnav/ng/ng_cons_sum_dcu_SCA_a.htm" TargetMode="External"/><Relationship Id="rId15" Type="http://schemas.openxmlformats.org/officeDocument/2006/relationships/drawing" Target="../drawings/drawing4.xml"/><Relationship Id="rId1" Type="http://schemas.openxmlformats.org/officeDocument/2006/relationships/hyperlink" Target="https://www.eia.gov/dnav/ng/ng_cons_sum_dcu_nus_m.htm" TargetMode="External"/><Relationship Id="rId2" Type="http://schemas.openxmlformats.org/officeDocument/2006/relationships/hyperlink" Target="https://www.eia.gov/dnav/ng/ng_cons_sum_a_EPG0_VC0_mmcf_a.htm" TargetMode="External"/><Relationship Id="rId3" Type="http://schemas.openxmlformats.org/officeDocument/2006/relationships/hyperlink" Target="https://www.eia.gov/opendata/qb.php?sdid=NG.NA1490_SCA_2.A" TargetMode="External"/><Relationship Id="rId4" Type="http://schemas.openxmlformats.org/officeDocument/2006/relationships/hyperlink" Target="https://www.eia.gov/opendata/qb.php?sdid=NG.NA1470_SCA_2.A" TargetMode="External"/><Relationship Id="rId5" Type="http://schemas.openxmlformats.org/officeDocument/2006/relationships/hyperlink" Target="https://www.eia.gov/opendata/qb.php?sdid=NG.NA1840_SCA_2.A" TargetMode="External"/><Relationship Id="rId6" Type="http://schemas.openxmlformats.org/officeDocument/2006/relationships/hyperlink" Target="https://www.eia.gov/opendata/qb.php?sdid=NG.NA1850_SCA_2.A" TargetMode="External"/><Relationship Id="rId7" Type="http://schemas.openxmlformats.org/officeDocument/2006/relationships/hyperlink" Target="https://www.eia.gov/opendata/qb.php?sdid=NG.NA1480_SCA_2.A" TargetMode="External"/><Relationship Id="rId8" Type="http://schemas.openxmlformats.org/officeDocument/2006/relationships/hyperlink" Target="https://www.eia.gov/opendata/qb.php?sdid=NG.N3060CA2.A" TargetMode="External"/><Relationship Id="rId9" Type="http://schemas.openxmlformats.org/officeDocument/2006/relationships/hyperlink" Target="https://www.eia.gov/opendata/qb.php?sdid=NG.N3010CA2.A" TargetMode="External"/><Relationship Id="rId10" Type="http://schemas.openxmlformats.org/officeDocument/2006/relationships/hyperlink" Target="https://www.eia.gov/opendata/qb.php?sdid=NG.N3020CA2.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of.ca.gov/research/demographic/reports/estimates/e-5/2011-20/view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tabSelected="1" zoomScale="130" zoomScaleNormal="130" zoomScalePageLayoutView="130" workbookViewId="0">
      <selection activeCell="B15" sqref="B15:F15"/>
    </sheetView>
  </sheetViews>
  <sheetFormatPr baseColWidth="10" defaultRowHeight="16" x14ac:dyDescent="0.2"/>
  <cols>
    <col min="3" max="3" width="13.33203125" customWidth="1"/>
    <col min="5" max="5" width="12.83203125" bestFit="1" customWidth="1"/>
    <col min="6" max="6" width="11" bestFit="1" customWidth="1"/>
    <col min="7" max="7" width="12.83203125" bestFit="1" customWidth="1"/>
    <col min="9" max="9" width="13.83203125" customWidth="1"/>
    <col min="10" max="10" width="8.1640625" customWidth="1"/>
    <col min="14" max="14" width="12.33203125" customWidth="1"/>
    <col min="15" max="15" width="12.6640625" bestFit="1" customWidth="1"/>
    <col min="16" max="16" width="12" bestFit="1" customWidth="1"/>
    <col min="17" max="17" width="14" bestFit="1" customWidth="1"/>
    <col min="19" max="19" width="11" bestFit="1" customWidth="1"/>
    <col min="20" max="20" width="12.83203125" bestFit="1" customWidth="1"/>
    <col min="21" max="21" width="12" bestFit="1" customWidth="1"/>
    <col min="23" max="23" width="11.5" bestFit="1" customWidth="1"/>
    <col min="46" max="46" width="13.83203125" bestFit="1" customWidth="1"/>
  </cols>
  <sheetData>
    <row r="1" spans="1:53" ht="64" x14ac:dyDescent="0.2">
      <c r="B1" s="1" t="s">
        <v>0</v>
      </c>
      <c r="C1" t="s">
        <v>350</v>
      </c>
      <c r="F1" s="1" t="s">
        <v>1</v>
      </c>
      <c r="J1" s="64" t="s">
        <v>735</v>
      </c>
      <c r="L1" s="1" t="s">
        <v>2</v>
      </c>
      <c r="P1" s="1" t="s">
        <v>3</v>
      </c>
      <c r="AH1">
        <v>49135</v>
      </c>
      <c r="AI1">
        <v>6141.8</v>
      </c>
      <c r="AJ1">
        <f>AI1</f>
        <v>6141.8</v>
      </c>
      <c r="AK1">
        <v>4913.3999999999996</v>
      </c>
      <c r="AL1">
        <v>614.17999999999995</v>
      </c>
      <c r="AM1">
        <f>AL1</f>
        <v>614.17999999999995</v>
      </c>
      <c r="AN1">
        <v>545.9</v>
      </c>
      <c r="AO1">
        <v>68.239999999999995</v>
      </c>
      <c r="AP1">
        <f>AO1</f>
        <v>68.239999999999995</v>
      </c>
    </row>
    <row r="2" spans="1:53" x14ac:dyDescent="0.2">
      <c r="A2" s="2"/>
      <c r="B2" s="2" t="s">
        <v>5</v>
      </c>
      <c r="C2" s="2" t="s">
        <v>6</v>
      </c>
      <c r="D2" s="3" t="s">
        <v>7</v>
      </c>
      <c r="F2" s="4" t="s">
        <v>8</v>
      </c>
      <c r="G2" s="5" t="s">
        <v>9</v>
      </c>
      <c r="H2" s="3" t="s">
        <v>7</v>
      </c>
      <c r="I2" s="3"/>
      <c r="J2" s="338"/>
      <c r="K2" s="338"/>
      <c r="N2" t="s">
        <v>10</v>
      </c>
      <c r="O2" t="s">
        <v>5</v>
      </c>
      <c r="P2" t="s">
        <v>6</v>
      </c>
      <c r="R2" t="s">
        <v>10</v>
      </c>
      <c r="S2" t="s">
        <v>8</v>
      </c>
      <c r="T2" t="s">
        <v>9</v>
      </c>
      <c r="X2" t="s">
        <v>349</v>
      </c>
      <c r="AK2">
        <v>1</v>
      </c>
      <c r="AL2">
        <v>2</v>
      </c>
      <c r="AM2">
        <v>22</v>
      </c>
      <c r="AN2">
        <v>3</v>
      </c>
      <c r="AO2">
        <v>4</v>
      </c>
      <c r="AP2">
        <v>44</v>
      </c>
      <c r="AQ2">
        <v>5</v>
      </c>
      <c r="AR2">
        <v>6</v>
      </c>
      <c r="AS2">
        <v>66</v>
      </c>
      <c r="AT2">
        <v>7</v>
      </c>
      <c r="AU2">
        <v>77</v>
      </c>
    </row>
    <row r="3" spans="1:53" x14ac:dyDescent="0.2">
      <c r="A3" s="3">
        <v>1</v>
      </c>
      <c r="B3" s="163">
        <f t="shared" ref="B3:B18" si="0">O3*9/5</f>
        <v>4135.3200000000006</v>
      </c>
      <c r="C3" s="163">
        <f t="shared" ref="C3:C17" si="1">P3*9/5</f>
        <v>3463.7400000000002</v>
      </c>
      <c r="D3" s="6">
        <f>(C3/B3)^(1/32)-1</f>
        <v>-5.5226868180147104E-3</v>
      </c>
      <c r="E3" s="376">
        <f>C3/B3 -1</f>
        <v>-0.16240097501523465</v>
      </c>
      <c r="F3" s="4">
        <f t="shared" ref="F3:F18" si="2">S3*9/5</f>
        <v>32.776200000000003</v>
      </c>
      <c r="G3" s="159">
        <f t="shared" ref="G3:G18" si="3">T3*9/5</f>
        <v>106.6482</v>
      </c>
      <c r="H3" s="6">
        <f>(G3/F3)^(1/32)-1</f>
        <v>3.755790011228477E-2</v>
      </c>
      <c r="I3" s="372">
        <f>B3+F3</f>
        <v>4168.0962000000009</v>
      </c>
      <c r="J3" s="375">
        <f>G3/F3 -1</f>
        <v>2.2538305233675655</v>
      </c>
      <c r="K3" s="339"/>
      <c r="L3">
        <v>1</v>
      </c>
      <c r="N3">
        <v>1</v>
      </c>
      <c r="O3">
        <v>2297.4</v>
      </c>
      <c r="P3">
        <v>1924.3</v>
      </c>
      <c r="R3">
        <v>1</v>
      </c>
      <c r="S3">
        <v>18.209</v>
      </c>
      <c r="T3">
        <v>59.249000000000002</v>
      </c>
      <c r="W3" s="8"/>
      <c r="X3" s="8" t="s">
        <v>14</v>
      </c>
      <c r="Y3" s="8" t="s">
        <v>110</v>
      </c>
      <c r="Z3" s="8" t="s">
        <v>185</v>
      </c>
      <c r="AA3" s="8" t="s">
        <v>344</v>
      </c>
      <c r="AB3" s="8" t="s">
        <v>345</v>
      </c>
      <c r="AE3">
        <v>49135</v>
      </c>
      <c r="AG3">
        <v>179346</v>
      </c>
      <c r="AI3" s="5">
        <f>SUM(AK3:AS3)</f>
        <v>3510.3889999999997</v>
      </c>
      <c r="AK3">
        <v>2861.4</v>
      </c>
      <c r="AL3">
        <v>357.7</v>
      </c>
      <c r="AM3">
        <v>3.97</v>
      </c>
      <c r="AN3">
        <v>244.8</v>
      </c>
      <c r="AO3">
        <v>30.6</v>
      </c>
      <c r="AP3">
        <v>0.4</v>
      </c>
      <c r="AQ3">
        <v>10.199999999999999</v>
      </c>
      <c r="AR3">
        <v>1.2749999999999999</v>
      </c>
      <c r="AS3">
        <v>4.3999999999999997E-2</v>
      </c>
    </row>
    <row r="4" spans="1:53" x14ac:dyDescent="0.2">
      <c r="A4" s="3">
        <f>A3+1</f>
        <v>2</v>
      </c>
      <c r="B4" s="163">
        <f t="shared" si="0"/>
        <v>3777.66</v>
      </c>
      <c r="C4" s="163">
        <f t="shared" si="1"/>
        <v>3218.76</v>
      </c>
      <c r="D4" s="6">
        <f t="shared" ref="D4:D18" si="4">(C4/B4)^(1/32)-1</f>
        <v>-4.9908969442966633E-3</v>
      </c>
      <c r="E4" s="376">
        <f t="shared" ref="E4:E18" si="5">C4/B4 -1</f>
        <v>-0.14794873016629329</v>
      </c>
      <c r="F4" s="4">
        <f t="shared" si="2"/>
        <v>412.23600000000005</v>
      </c>
      <c r="G4" s="159">
        <f t="shared" si="3"/>
        <v>703.60199999999998</v>
      </c>
      <c r="H4" s="6">
        <f t="shared" ref="H4:H18" si="6">(G4/F4)^(1/35)-1</f>
        <v>1.5392022785097437E-2</v>
      </c>
      <c r="I4" s="372">
        <f t="shared" ref="I4:I18" si="7">B4+F4</f>
        <v>4189.8959999999997</v>
      </c>
      <c r="J4" s="375">
        <f t="shared" ref="J4:J18" si="8">G4/F4 -1</f>
        <v>0.70679416644834481</v>
      </c>
      <c r="K4" s="339"/>
      <c r="L4">
        <v>2</v>
      </c>
      <c r="N4">
        <f>N3+1</f>
        <v>2</v>
      </c>
      <c r="O4">
        <v>2098.6999999999998</v>
      </c>
      <c r="P4">
        <v>1788.2</v>
      </c>
      <c r="R4">
        <f>R3+1</f>
        <v>2</v>
      </c>
      <c r="S4">
        <v>229.02</v>
      </c>
      <c r="T4">
        <v>390.89</v>
      </c>
      <c r="W4" s="8">
        <v>2020</v>
      </c>
      <c r="X4" s="8">
        <v>0.9</v>
      </c>
      <c r="Y4" s="8">
        <v>0.1</v>
      </c>
      <c r="Z4" s="8">
        <v>0</v>
      </c>
      <c r="AA4" s="8">
        <v>0</v>
      </c>
      <c r="AB4" s="8">
        <f>SUM(X4:AA4)</f>
        <v>1</v>
      </c>
      <c r="AE4">
        <v>6141.8</v>
      </c>
      <c r="AG4">
        <v>22418.31</v>
      </c>
      <c r="AZ4" t="s">
        <v>183</v>
      </c>
    </row>
    <row r="5" spans="1:53" x14ac:dyDescent="0.2">
      <c r="A5" s="135">
        <f t="shared" ref="A5:A18" si="9">A4+1</f>
        <v>3</v>
      </c>
      <c r="B5" s="163">
        <f t="shared" si="0"/>
        <v>2921.2200000000003</v>
      </c>
      <c r="C5" s="163">
        <f t="shared" si="1"/>
        <v>2299.3200000000002</v>
      </c>
      <c r="D5" s="6">
        <f t="shared" si="4"/>
        <v>-7.4529601147852453E-3</v>
      </c>
      <c r="E5" s="376">
        <f t="shared" si="5"/>
        <v>-0.21289050465216586</v>
      </c>
      <c r="F5" s="4">
        <f t="shared" si="2"/>
        <v>145.809</v>
      </c>
      <c r="G5" s="159">
        <f t="shared" si="3"/>
        <v>349.45199999999994</v>
      </c>
      <c r="H5" s="6">
        <f t="shared" si="6"/>
        <v>2.5287837753639186E-2</v>
      </c>
      <c r="I5" s="372">
        <f t="shared" si="7"/>
        <v>3067.0290000000005</v>
      </c>
      <c r="J5" s="375">
        <f t="shared" si="8"/>
        <v>1.396642182581322</v>
      </c>
      <c r="K5" s="339"/>
      <c r="L5">
        <v>3</v>
      </c>
      <c r="N5">
        <f t="shared" ref="N5:N18" si="10">N4+1</f>
        <v>3</v>
      </c>
      <c r="O5">
        <v>1622.9</v>
      </c>
      <c r="P5">
        <v>1277.4000000000001</v>
      </c>
      <c r="R5">
        <f t="shared" ref="R5:R18" si="11">R4+1</f>
        <v>3</v>
      </c>
      <c r="S5">
        <v>81.004999999999995</v>
      </c>
      <c r="T5">
        <v>194.14</v>
      </c>
      <c r="W5" s="8">
        <v>2030</v>
      </c>
      <c r="X5" s="8">
        <v>0.9</v>
      </c>
      <c r="Y5" s="8">
        <v>0.1</v>
      </c>
      <c r="Z5" s="8">
        <v>0</v>
      </c>
      <c r="AA5" s="8">
        <v>0</v>
      </c>
      <c r="AB5" s="8">
        <f>SUM(X5:AA5)</f>
        <v>1</v>
      </c>
      <c r="AE5">
        <v>4913.3999999999996</v>
      </c>
      <c r="AG5">
        <v>17934.599999999999</v>
      </c>
      <c r="AK5" s="5">
        <f t="shared" ref="AK5:AS5" si="12">AK3*10^6/AH1</f>
        <v>58235.473694922155</v>
      </c>
      <c r="AL5" s="5">
        <f t="shared" si="12"/>
        <v>58240.25529974926</v>
      </c>
      <c r="AM5" s="5">
        <f t="shared" si="12"/>
        <v>646.39030902992602</v>
      </c>
      <c r="AN5" s="5">
        <f t="shared" si="12"/>
        <v>49822.9332030773</v>
      </c>
      <c r="AO5" s="5">
        <f t="shared" si="12"/>
        <v>49822.527597772641</v>
      </c>
      <c r="AP5" s="5">
        <f t="shared" si="12"/>
        <v>651.27487055911956</v>
      </c>
      <c r="AQ5" s="5">
        <f t="shared" si="12"/>
        <v>18684.740795017402</v>
      </c>
      <c r="AR5" s="5">
        <f t="shared" si="12"/>
        <v>18684.056271981244</v>
      </c>
      <c r="AS5" s="5">
        <f t="shared" si="12"/>
        <v>644.78311840562719</v>
      </c>
      <c r="AU5">
        <v>1</v>
      </c>
      <c r="AV5">
        <v>1</v>
      </c>
      <c r="AW5">
        <v>1</v>
      </c>
      <c r="AX5">
        <v>1</v>
      </c>
      <c r="AY5">
        <f>SUM(AP5:AS5)+2*SUM(AU5:AX5)</f>
        <v>38672.855055963388</v>
      </c>
    </row>
    <row r="6" spans="1:53" x14ac:dyDescent="0.2">
      <c r="A6" s="3">
        <f t="shared" si="9"/>
        <v>4</v>
      </c>
      <c r="B6" s="163">
        <f t="shared" si="0"/>
        <v>2876.2200000000003</v>
      </c>
      <c r="C6" s="163">
        <f t="shared" si="1"/>
        <v>2332.08</v>
      </c>
      <c r="D6" s="6">
        <f t="shared" si="4"/>
        <v>-6.532207976703841E-3</v>
      </c>
      <c r="E6" s="376">
        <f t="shared" si="5"/>
        <v>-0.1891858063708618</v>
      </c>
      <c r="F6" s="4">
        <f t="shared" si="2"/>
        <v>653.05799999999999</v>
      </c>
      <c r="G6" s="159">
        <f t="shared" si="3"/>
        <v>1056.546</v>
      </c>
      <c r="H6" s="6">
        <f t="shared" si="6"/>
        <v>1.3840459623925216E-2</v>
      </c>
      <c r="I6" s="372">
        <f t="shared" si="7"/>
        <v>3529.2780000000002</v>
      </c>
      <c r="J6" s="375">
        <f t="shared" si="8"/>
        <v>0.61784405060500003</v>
      </c>
      <c r="K6" s="339"/>
      <c r="L6">
        <v>4</v>
      </c>
      <c r="N6">
        <f t="shared" si="10"/>
        <v>4</v>
      </c>
      <c r="O6">
        <v>1597.9</v>
      </c>
      <c r="P6">
        <v>1295.5999999999999</v>
      </c>
      <c r="R6">
        <f t="shared" si="11"/>
        <v>4</v>
      </c>
      <c r="S6">
        <v>362.81</v>
      </c>
      <c r="T6">
        <v>586.97</v>
      </c>
      <c r="W6" s="8">
        <v>2040</v>
      </c>
      <c r="X6" s="8">
        <v>0.9</v>
      </c>
      <c r="Y6" s="8">
        <v>0.1</v>
      </c>
      <c r="Z6" s="8">
        <v>0</v>
      </c>
      <c r="AA6" s="8">
        <v>0</v>
      </c>
      <c r="AB6" s="8">
        <f>SUM(X6:AA6)</f>
        <v>1</v>
      </c>
      <c r="AE6">
        <v>614.17999999999995</v>
      </c>
      <c r="AG6">
        <v>2241.8000000000002</v>
      </c>
      <c r="AU6">
        <v>1</v>
      </c>
      <c r="AV6">
        <v>1</v>
      </c>
      <c r="AW6">
        <v>1</v>
      </c>
      <c r="AX6">
        <v>1</v>
      </c>
      <c r="AY6">
        <f>SUM(AP6:AS6)+2*SUM(AU6:AX6)</f>
        <v>8</v>
      </c>
    </row>
    <row r="7" spans="1:53" x14ac:dyDescent="0.2">
      <c r="A7" s="3">
        <f t="shared" si="9"/>
        <v>5</v>
      </c>
      <c r="B7" s="163">
        <f t="shared" si="0"/>
        <v>2998.98</v>
      </c>
      <c r="C7" s="163">
        <f t="shared" si="1"/>
        <v>2325.6</v>
      </c>
      <c r="D7" s="6">
        <f t="shared" si="4"/>
        <v>-7.9152010304590625E-3</v>
      </c>
      <c r="E7" s="376">
        <f t="shared" si="5"/>
        <v>-0.22453634235640119</v>
      </c>
      <c r="F7" s="4">
        <f t="shared" si="2"/>
        <v>136.76579999999998</v>
      </c>
      <c r="G7" s="159">
        <f t="shared" si="3"/>
        <v>349.38</v>
      </c>
      <c r="H7" s="6">
        <f t="shared" si="6"/>
        <v>2.7159126845569537E-2</v>
      </c>
      <c r="I7" s="372">
        <f t="shared" si="7"/>
        <v>3135.7458000000001</v>
      </c>
      <c r="J7" s="375">
        <f t="shared" si="8"/>
        <v>1.5545860149247841</v>
      </c>
      <c r="K7" s="339"/>
      <c r="L7">
        <v>5</v>
      </c>
      <c r="N7">
        <f t="shared" si="10"/>
        <v>5</v>
      </c>
      <c r="O7">
        <v>1666.1</v>
      </c>
      <c r="P7">
        <v>1292</v>
      </c>
      <c r="R7">
        <f t="shared" si="11"/>
        <v>5</v>
      </c>
      <c r="S7">
        <v>75.980999999999995</v>
      </c>
      <c r="T7">
        <v>194.1</v>
      </c>
      <c r="W7" s="8">
        <v>2050</v>
      </c>
      <c r="X7" s="8">
        <v>0.9</v>
      </c>
      <c r="Y7" s="8">
        <v>0.1</v>
      </c>
      <c r="Z7" s="8">
        <v>0</v>
      </c>
      <c r="AA7" s="8">
        <v>0</v>
      </c>
      <c r="AB7" s="8">
        <f>SUM(X7:AA7)</f>
        <v>1</v>
      </c>
      <c r="AE7">
        <v>545.9</v>
      </c>
      <c r="AG7">
        <v>1992.7</v>
      </c>
      <c r="AU7">
        <v>1</v>
      </c>
      <c r="AV7">
        <v>1</v>
      </c>
      <c r="AW7">
        <v>1</v>
      </c>
      <c r="AX7">
        <v>1</v>
      </c>
      <c r="AY7">
        <f>SUM(AP7:AS7)+2*SUM(AU7:AX7)</f>
        <v>8</v>
      </c>
    </row>
    <row r="8" spans="1:53" x14ac:dyDescent="0.2">
      <c r="A8" s="3">
        <f t="shared" si="9"/>
        <v>6</v>
      </c>
      <c r="B8" s="163">
        <f t="shared" si="0"/>
        <v>1468.26</v>
      </c>
      <c r="C8" s="163">
        <f t="shared" si="1"/>
        <v>1023.876</v>
      </c>
      <c r="D8" s="6">
        <f t="shared" si="4"/>
        <v>-1.1201867834418344E-2</v>
      </c>
      <c r="E8" s="376">
        <f t="shared" si="5"/>
        <v>-0.3026602917739365</v>
      </c>
      <c r="F8" s="4">
        <f t="shared" si="2"/>
        <v>684.10799999999995</v>
      </c>
      <c r="G8" s="159">
        <f t="shared" si="3"/>
        <v>1117.8899999999999</v>
      </c>
      <c r="H8" s="6">
        <f t="shared" si="6"/>
        <v>1.4129822852083862E-2</v>
      </c>
      <c r="I8" s="372">
        <f t="shared" si="7"/>
        <v>2152.3679999999999</v>
      </c>
      <c r="J8" s="375">
        <f t="shared" si="8"/>
        <v>0.63408409198547599</v>
      </c>
      <c r="K8" s="339"/>
      <c r="L8">
        <v>6</v>
      </c>
      <c r="N8">
        <f t="shared" si="10"/>
        <v>6</v>
      </c>
      <c r="O8">
        <v>815.7</v>
      </c>
      <c r="P8">
        <v>568.82000000000005</v>
      </c>
      <c r="R8">
        <f t="shared" si="11"/>
        <v>6</v>
      </c>
      <c r="S8">
        <v>380.06</v>
      </c>
      <c r="T8">
        <v>621.04999999999995</v>
      </c>
      <c r="AE8">
        <v>68.239999999999995</v>
      </c>
      <c r="AG8">
        <v>249.09</v>
      </c>
      <c r="AU8">
        <v>1</v>
      </c>
      <c r="AV8">
        <v>1</v>
      </c>
      <c r="AW8">
        <v>1</v>
      </c>
      <c r="AX8">
        <v>1</v>
      </c>
      <c r="AY8">
        <f>SUM(AP8:AS8)+2*SUM(AU8:AX8)</f>
        <v>8</v>
      </c>
    </row>
    <row r="9" spans="1:53" x14ac:dyDescent="0.2">
      <c r="A9" s="3">
        <f t="shared" si="9"/>
        <v>7</v>
      </c>
      <c r="B9" s="163">
        <f t="shared" si="0"/>
        <v>1242.9000000000001</v>
      </c>
      <c r="C9" s="163">
        <f t="shared" si="1"/>
        <v>796.8599999999999</v>
      </c>
      <c r="D9" s="6">
        <f t="shared" si="4"/>
        <v>-1.3795323766400691E-2</v>
      </c>
      <c r="E9" s="376">
        <f t="shared" si="5"/>
        <v>-0.35887038377986979</v>
      </c>
      <c r="F9" s="4">
        <f t="shared" si="2"/>
        <v>1027.9079999999999</v>
      </c>
      <c r="G9" s="159">
        <f t="shared" si="3"/>
        <v>1523.502</v>
      </c>
      <c r="H9" s="170">
        <f t="shared" si="6"/>
        <v>1.1305889999843943E-2</v>
      </c>
      <c r="I9" s="372">
        <f t="shared" si="7"/>
        <v>2270.808</v>
      </c>
      <c r="J9" s="375">
        <f t="shared" si="8"/>
        <v>0.48213847931916098</v>
      </c>
      <c r="K9" s="340"/>
      <c r="L9">
        <v>7</v>
      </c>
      <c r="N9">
        <f t="shared" si="10"/>
        <v>7</v>
      </c>
      <c r="O9">
        <v>690.5</v>
      </c>
      <c r="P9">
        <v>442.7</v>
      </c>
      <c r="R9">
        <f t="shared" si="11"/>
        <v>7</v>
      </c>
      <c r="S9">
        <v>571.05999999999995</v>
      </c>
      <c r="T9">
        <v>846.39</v>
      </c>
      <c r="W9">
        <f>11492.14/29.3</f>
        <v>392.22320819112628</v>
      </c>
      <c r="AU9">
        <v>1</v>
      </c>
      <c r="AV9">
        <v>1</v>
      </c>
      <c r="AW9">
        <v>1</v>
      </c>
      <c r="AX9">
        <v>1</v>
      </c>
      <c r="AY9">
        <f>SUM(AP9:AS9)+2*SUM(AU9:AX9)</f>
        <v>8</v>
      </c>
    </row>
    <row r="10" spans="1:53" x14ac:dyDescent="0.2">
      <c r="A10" s="3">
        <f t="shared" si="9"/>
        <v>8</v>
      </c>
      <c r="B10" s="163">
        <f t="shared" si="0"/>
        <v>1262.3399999999999</v>
      </c>
      <c r="C10" s="163">
        <f t="shared" si="1"/>
        <v>821.84400000000005</v>
      </c>
      <c r="D10" s="6">
        <f t="shared" si="4"/>
        <v>-1.3322084461157901E-2</v>
      </c>
      <c r="E10" s="376">
        <f t="shared" si="5"/>
        <v>-0.34895194638528437</v>
      </c>
      <c r="F10" s="4">
        <f t="shared" si="2"/>
        <v>1164.8699999999999</v>
      </c>
      <c r="G10" s="159">
        <f t="shared" si="3"/>
        <v>1725.03</v>
      </c>
      <c r="H10" s="6">
        <f t="shared" si="6"/>
        <v>1.1281300698979813E-2</v>
      </c>
      <c r="I10" s="372">
        <f t="shared" si="7"/>
        <v>2427.21</v>
      </c>
      <c r="J10" s="375">
        <f t="shared" si="8"/>
        <v>0.48087769450668327</v>
      </c>
      <c r="K10" s="339"/>
      <c r="L10">
        <v>8</v>
      </c>
      <c r="M10">
        <f>(L10)^(1/35)-1</f>
        <v>6.1213023333372751E-2</v>
      </c>
      <c r="N10">
        <f t="shared" si="10"/>
        <v>8</v>
      </c>
      <c r="O10">
        <v>701.3</v>
      </c>
      <c r="P10">
        <v>456.58</v>
      </c>
      <c r="R10">
        <f t="shared" si="11"/>
        <v>8</v>
      </c>
      <c r="S10">
        <v>647.15</v>
      </c>
      <c r="T10">
        <v>958.35</v>
      </c>
    </row>
    <row r="11" spans="1:53" x14ac:dyDescent="0.2">
      <c r="A11" s="3">
        <f t="shared" si="9"/>
        <v>9</v>
      </c>
      <c r="B11" s="163">
        <f t="shared" si="0"/>
        <v>1377.18</v>
      </c>
      <c r="C11" s="163">
        <f t="shared" si="1"/>
        <v>897.42600000000004</v>
      </c>
      <c r="D11" s="6">
        <f t="shared" si="4"/>
        <v>-1.3294047579294976E-2</v>
      </c>
      <c r="E11" s="376">
        <f t="shared" si="5"/>
        <v>-0.34835969154358903</v>
      </c>
      <c r="F11" s="4">
        <f t="shared" si="2"/>
        <v>1413.3420000000001</v>
      </c>
      <c r="G11" s="159">
        <f t="shared" si="3"/>
        <v>2072.6999999999998</v>
      </c>
      <c r="H11" s="6">
        <f t="shared" si="6"/>
        <v>1.099991597742811E-2</v>
      </c>
      <c r="I11" s="372">
        <f t="shared" si="7"/>
        <v>2790.5219999999999</v>
      </c>
      <c r="J11" s="375">
        <f t="shared" si="8"/>
        <v>0.46652402603191567</v>
      </c>
      <c r="K11" s="339"/>
      <c r="L11">
        <v>9</v>
      </c>
      <c r="N11">
        <f t="shared" si="10"/>
        <v>9</v>
      </c>
      <c r="O11">
        <v>765.1</v>
      </c>
      <c r="P11">
        <v>498.57</v>
      </c>
      <c r="R11">
        <f t="shared" si="11"/>
        <v>9</v>
      </c>
      <c r="S11">
        <v>785.19</v>
      </c>
      <c r="T11">
        <v>1151.5</v>
      </c>
      <c r="AE11">
        <f>SUM(AE3:AE9)/10^6</f>
        <v>6.1418520000000004E-2</v>
      </c>
      <c r="AG11">
        <f>SUM(AG3:AG9)/10^6</f>
        <v>0.22418250000000001</v>
      </c>
    </row>
    <row r="12" spans="1:53" x14ac:dyDescent="0.2">
      <c r="A12" s="3">
        <f t="shared" si="9"/>
        <v>10</v>
      </c>
      <c r="B12" s="163">
        <f t="shared" si="0"/>
        <v>1583.424</v>
      </c>
      <c r="C12" s="163">
        <f t="shared" si="1"/>
        <v>1056.7260000000001</v>
      </c>
      <c r="D12" s="6">
        <f t="shared" si="4"/>
        <v>-1.2558418500814517E-2</v>
      </c>
      <c r="E12" s="376">
        <f t="shared" si="5"/>
        <v>-0.33263232084394312</v>
      </c>
      <c r="F12" s="4">
        <f t="shared" si="2"/>
        <v>1697.5079999999998</v>
      </c>
      <c r="G12" s="159">
        <f t="shared" si="3"/>
        <v>2306.88</v>
      </c>
      <c r="H12" s="6">
        <f t="shared" si="6"/>
        <v>8.8023626291260371E-3</v>
      </c>
      <c r="I12" s="372">
        <f t="shared" si="7"/>
        <v>3280.9319999999998</v>
      </c>
      <c r="J12" s="375">
        <f t="shared" si="8"/>
        <v>0.35898034059338779</v>
      </c>
      <c r="K12" s="339"/>
      <c r="L12">
        <v>10</v>
      </c>
      <c r="N12">
        <f t="shared" si="10"/>
        <v>10</v>
      </c>
      <c r="O12">
        <v>879.68</v>
      </c>
      <c r="P12">
        <v>587.07000000000005</v>
      </c>
      <c r="R12">
        <f t="shared" si="11"/>
        <v>10</v>
      </c>
      <c r="S12">
        <v>943.06</v>
      </c>
      <c r="T12">
        <v>1281.5999999999999</v>
      </c>
    </row>
    <row r="13" spans="1:53" x14ac:dyDescent="0.2">
      <c r="A13" s="3">
        <f t="shared" si="9"/>
        <v>11</v>
      </c>
      <c r="B13" s="163">
        <f t="shared" si="0"/>
        <v>2568.42</v>
      </c>
      <c r="C13" s="163">
        <f t="shared" si="1"/>
        <v>2129.7600000000002</v>
      </c>
      <c r="D13" s="6">
        <f t="shared" si="4"/>
        <v>-5.8354580155451918E-3</v>
      </c>
      <c r="E13" s="376">
        <f t="shared" si="5"/>
        <v>-0.17078982409419019</v>
      </c>
      <c r="F13" s="4">
        <f t="shared" si="2"/>
        <v>1758.4920000000002</v>
      </c>
      <c r="G13" s="159">
        <f t="shared" si="3"/>
        <v>2309.7600000000002</v>
      </c>
      <c r="H13" s="6">
        <f t="shared" si="6"/>
        <v>7.8214863865384565E-3</v>
      </c>
      <c r="I13" s="372">
        <f t="shared" si="7"/>
        <v>4326.9120000000003</v>
      </c>
      <c r="J13" s="375">
        <f t="shared" si="8"/>
        <v>0.31348905766986701</v>
      </c>
      <c r="K13" s="339"/>
      <c r="L13">
        <v>11</v>
      </c>
      <c r="N13">
        <f t="shared" si="10"/>
        <v>11</v>
      </c>
      <c r="O13">
        <v>1426.9</v>
      </c>
      <c r="P13">
        <v>1183.2</v>
      </c>
      <c r="R13">
        <f t="shared" si="11"/>
        <v>11</v>
      </c>
      <c r="S13">
        <v>976.94</v>
      </c>
      <c r="T13">
        <v>1283.2</v>
      </c>
    </row>
    <row r="14" spans="1:53" x14ac:dyDescent="0.2">
      <c r="A14" s="3">
        <f t="shared" si="9"/>
        <v>12</v>
      </c>
      <c r="B14" s="163">
        <f t="shared" si="0"/>
        <v>2352.7799999999997</v>
      </c>
      <c r="C14" s="163">
        <f t="shared" si="1"/>
        <v>1907.4600000000003</v>
      </c>
      <c r="D14" s="6">
        <f t="shared" si="4"/>
        <v>-6.5355837361079638E-3</v>
      </c>
      <c r="E14" s="376">
        <f t="shared" si="5"/>
        <v>-0.18927396526662055</v>
      </c>
      <c r="F14" s="4">
        <f t="shared" si="2"/>
        <v>1585.962</v>
      </c>
      <c r="G14" s="159">
        <f t="shared" si="3"/>
        <v>2147.58</v>
      </c>
      <c r="H14" s="6">
        <f t="shared" si="6"/>
        <v>8.6990606347341348E-3</v>
      </c>
      <c r="I14" s="372">
        <f t="shared" si="7"/>
        <v>3938.7419999999997</v>
      </c>
      <c r="J14" s="375">
        <f t="shared" si="8"/>
        <v>0.35411819450907389</v>
      </c>
      <c r="K14" s="339"/>
      <c r="L14">
        <v>12</v>
      </c>
      <c r="N14">
        <f t="shared" si="10"/>
        <v>12</v>
      </c>
      <c r="O14">
        <v>1307.0999999999999</v>
      </c>
      <c r="P14">
        <v>1059.7</v>
      </c>
      <c r="R14">
        <f t="shared" si="11"/>
        <v>12</v>
      </c>
      <c r="S14">
        <v>881.09</v>
      </c>
      <c r="T14">
        <v>1193.0999999999999</v>
      </c>
    </row>
    <row r="15" spans="1:53" x14ac:dyDescent="0.2">
      <c r="A15" s="3">
        <f t="shared" si="9"/>
        <v>13</v>
      </c>
      <c r="B15" s="163">
        <f t="shared" si="0"/>
        <v>2185.7399999999998</v>
      </c>
      <c r="C15" s="163">
        <f t="shared" si="1"/>
        <v>1750.23</v>
      </c>
      <c r="D15" s="6">
        <f t="shared" si="4"/>
        <v>-6.9199224344617116E-3</v>
      </c>
      <c r="E15" s="376">
        <f t="shared" si="5"/>
        <v>-0.19925059705179926</v>
      </c>
      <c r="F15" s="4">
        <f t="shared" si="2"/>
        <v>2140.02</v>
      </c>
      <c r="G15" s="159">
        <f t="shared" si="3"/>
        <v>2758.5</v>
      </c>
      <c r="H15" s="6">
        <f t="shared" si="6"/>
        <v>7.2798524781014784E-3</v>
      </c>
      <c r="I15" s="372">
        <f t="shared" si="7"/>
        <v>4325.76</v>
      </c>
      <c r="J15" s="375">
        <f t="shared" si="8"/>
        <v>0.28900664479771221</v>
      </c>
      <c r="K15" s="339"/>
      <c r="L15">
        <v>13</v>
      </c>
      <c r="M15" s="5"/>
      <c r="N15">
        <f t="shared" si="10"/>
        <v>13</v>
      </c>
      <c r="O15">
        <v>1214.3</v>
      </c>
      <c r="P15">
        <v>972.35</v>
      </c>
      <c r="R15">
        <f t="shared" si="11"/>
        <v>13</v>
      </c>
      <c r="S15">
        <v>1188.9000000000001</v>
      </c>
      <c r="T15">
        <v>1532.5</v>
      </c>
      <c r="AV15" t="s">
        <v>16</v>
      </c>
      <c r="AW15">
        <v>36.68</v>
      </c>
      <c r="AX15">
        <v>0.23</v>
      </c>
      <c r="AZ15">
        <f>AW15/5</f>
        <v>7.3360000000000003</v>
      </c>
      <c r="BA15">
        <f>AX15/5</f>
        <v>4.5999999999999999E-2</v>
      </c>
    </row>
    <row r="16" spans="1:53" x14ac:dyDescent="0.2">
      <c r="A16" s="3">
        <f t="shared" si="9"/>
        <v>14</v>
      </c>
      <c r="B16" s="163">
        <f t="shared" si="0"/>
        <v>2113.02</v>
      </c>
      <c r="C16" s="163">
        <f t="shared" si="1"/>
        <v>1592.2260000000001</v>
      </c>
      <c r="D16" s="6">
        <f t="shared" si="4"/>
        <v>-8.8042996089920944E-3</v>
      </c>
      <c r="E16" s="376">
        <f t="shared" si="5"/>
        <v>-0.24646903484112781</v>
      </c>
      <c r="F16" s="4">
        <f t="shared" si="2"/>
        <v>2827.62</v>
      </c>
      <c r="G16" s="159">
        <f t="shared" si="3"/>
        <v>3490.56</v>
      </c>
      <c r="H16" s="6">
        <f t="shared" si="6"/>
        <v>6.0360529455263379E-3</v>
      </c>
      <c r="I16" s="372">
        <f t="shared" si="7"/>
        <v>4940.6399999999994</v>
      </c>
      <c r="J16" s="375">
        <f t="shared" si="8"/>
        <v>0.23445158826150614</v>
      </c>
      <c r="K16" s="339"/>
      <c r="L16">
        <v>14</v>
      </c>
      <c r="N16">
        <f t="shared" si="10"/>
        <v>14</v>
      </c>
      <c r="O16">
        <v>1173.9000000000001</v>
      </c>
      <c r="P16">
        <v>884.57</v>
      </c>
      <c r="R16">
        <f t="shared" si="11"/>
        <v>14</v>
      </c>
      <c r="S16">
        <v>1570.9</v>
      </c>
      <c r="T16">
        <v>1939.2</v>
      </c>
      <c r="AV16" t="s">
        <v>103</v>
      </c>
      <c r="AX16">
        <v>0.12</v>
      </c>
      <c r="AZ16">
        <f>AW16/5</f>
        <v>0</v>
      </c>
      <c r="BA16">
        <f>AX16/5</f>
        <v>2.4E-2</v>
      </c>
    </row>
    <row r="17" spans="1:52" x14ac:dyDescent="0.2">
      <c r="A17" s="3">
        <f t="shared" si="9"/>
        <v>15</v>
      </c>
      <c r="B17" s="163">
        <f t="shared" si="0"/>
        <v>980.85599999999999</v>
      </c>
      <c r="C17" s="163">
        <f t="shared" si="1"/>
        <v>628.90199999999993</v>
      </c>
      <c r="D17" s="6">
        <f t="shared" si="4"/>
        <v>-1.3793061194191214E-2</v>
      </c>
      <c r="E17" s="376">
        <f t="shared" si="5"/>
        <v>-0.35882331351391039</v>
      </c>
      <c r="F17" s="4">
        <f t="shared" si="2"/>
        <v>4190.76</v>
      </c>
      <c r="G17" s="159">
        <f t="shared" si="3"/>
        <v>4965.84</v>
      </c>
      <c r="H17" s="6">
        <f t="shared" si="6"/>
        <v>4.8603552718835541E-3</v>
      </c>
      <c r="I17" s="372">
        <f t="shared" si="7"/>
        <v>5171.616</v>
      </c>
      <c r="J17" s="375">
        <f t="shared" si="8"/>
        <v>0.18494974658534491</v>
      </c>
      <c r="K17" s="339"/>
      <c r="L17">
        <v>15</v>
      </c>
      <c r="N17">
        <f t="shared" si="10"/>
        <v>15</v>
      </c>
      <c r="O17">
        <v>544.91999999999996</v>
      </c>
      <c r="P17">
        <v>349.39</v>
      </c>
      <c r="R17">
        <f t="shared" si="11"/>
        <v>15</v>
      </c>
      <c r="S17">
        <v>2328.1999999999998</v>
      </c>
      <c r="T17">
        <v>2758.8</v>
      </c>
      <c r="AV17" t="s">
        <v>15</v>
      </c>
      <c r="AW17">
        <v>41.27</v>
      </c>
      <c r="AZ17">
        <f>AW17/5</f>
        <v>8.2540000000000013</v>
      </c>
    </row>
    <row r="18" spans="1:52" x14ac:dyDescent="0.2">
      <c r="A18" s="3">
        <f t="shared" si="9"/>
        <v>16</v>
      </c>
      <c r="B18" s="163">
        <f t="shared" si="0"/>
        <v>5842.6200000000008</v>
      </c>
      <c r="C18" s="163">
        <f>P18*9/5</f>
        <v>5016.78</v>
      </c>
      <c r="D18" s="6">
        <f t="shared" si="4"/>
        <v>-4.7508983832884599E-3</v>
      </c>
      <c r="E18" s="376">
        <f t="shared" si="5"/>
        <v>-0.14134754613512446</v>
      </c>
      <c r="F18" s="4">
        <f t="shared" si="2"/>
        <v>289.49400000000003</v>
      </c>
      <c r="G18" s="159">
        <f t="shared" si="3"/>
        <v>581.81400000000008</v>
      </c>
      <c r="H18" s="6">
        <f t="shared" si="6"/>
        <v>2.0143517749863449E-2</v>
      </c>
      <c r="I18" s="372">
        <f t="shared" si="7"/>
        <v>6132.1140000000005</v>
      </c>
      <c r="J18" s="375">
        <f t="shared" si="8"/>
        <v>1.0097618603494372</v>
      </c>
      <c r="K18" s="339"/>
      <c r="L18">
        <v>16</v>
      </c>
      <c r="N18">
        <f t="shared" si="10"/>
        <v>16</v>
      </c>
      <c r="O18">
        <v>3245.9</v>
      </c>
      <c r="P18">
        <v>2787.1</v>
      </c>
      <c r="R18">
        <f t="shared" si="11"/>
        <v>16</v>
      </c>
      <c r="S18">
        <v>160.83000000000001</v>
      </c>
      <c r="T18">
        <v>323.23</v>
      </c>
      <c r="Z18">
        <f>62*4</f>
        <v>248</v>
      </c>
      <c r="AV18" t="s">
        <v>63</v>
      </c>
      <c r="AW18">
        <v>21.5</v>
      </c>
      <c r="AX18" t="s">
        <v>184</v>
      </c>
      <c r="AZ18">
        <f>AW18/5</f>
        <v>4.3</v>
      </c>
    </row>
    <row r="19" spans="1:52" x14ac:dyDescent="0.2">
      <c r="W19">
        <f>8*4</f>
        <v>32</v>
      </c>
      <c r="AS19" t="s">
        <v>64</v>
      </c>
      <c r="AT19">
        <v>19.11</v>
      </c>
      <c r="AW19">
        <f>AT19/5</f>
        <v>3.8220000000000001</v>
      </c>
    </row>
    <row r="20" spans="1:52" x14ac:dyDescent="0.2">
      <c r="B20">
        <v>1</v>
      </c>
      <c r="C20">
        <v>2</v>
      </c>
      <c r="D20" s="7">
        <v>3</v>
      </c>
      <c r="E20">
        <v>4</v>
      </c>
      <c r="F20">
        <v>5</v>
      </c>
      <c r="G20" s="7">
        <v>6</v>
      </c>
      <c r="H20">
        <v>7</v>
      </c>
      <c r="I20">
        <v>8</v>
      </c>
      <c r="J20" s="7">
        <v>9</v>
      </c>
      <c r="K20">
        <v>10</v>
      </c>
      <c r="L20">
        <v>11</v>
      </c>
      <c r="M20" s="7">
        <v>12</v>
      </c>
      <c r="N20">
        <v>13</v>
      </c>
      <c r="O20">
        <v>14</v>
      </c>
      <c r="P20" s="7">
        <v>15</v>
      </c>
      <c r="Q20">
        <v>16</v>
      </c>
      <c r="R20">
        <v>17</v>
      </c>
      <c r="S20" s="7">
        <v>18</v>
      </c>
      <c r="T20">
        <v>19</v>
      </c>
      <c r="U20" s="7">
        <v>20</v>
      </c>
      <c r="V20">
        <v>21</v>
      </c>
      <c r="W20" s="7">
        <v>22</v>
      </c>
      <c r="X20">
        <v>0.1</v>
      </c>
      <c r="Y20">
        <v>0.2</v>
      </c>
      <c r="Z20">
        <v>0.2</v>
      </c>
      <c r="AA20">
        <v>0.2</v>
      </c>
      <c r="AB20">
        <v>0.3</v>
      </c>
    </row>
    <row r="21" spans="1:52" x14ac:dyDescent="0.2">
      <c r="D21" s="7">
        <v>3</v>
      </c>
      <c r="N21">
        <f>117*0.4522</f>
        <v>52.907399999999996</v>
      </c>
      <c r="O21">
        <f>450*0.4255</f>
        <v>191.47499999999999</v>
      </c>
      <c r="AS21" t="s">
        <v>82</v>
      </c>
      <c r="AT21">
        <v>28.01</v>
      </c>
      <c r="AU21">
        <v>0.23</v>
      </c>
      <c r="AW21">
        <f>AT21/5</f>
        <v>5.6020000000000003</v>
      </c>
      <c r="AX21">
        <f>AU21/5</f>
        <v>4.5999999999999999E-2</v>
      </c>
    </row>
    <row r="22" spans="1:52" ht="21" x14ac:dyDescent="0.25">
      <c r="B22" s="161" t="s">
        <v>340</v>
      </c>
      <c r="C22" s="162">
        <f>13.9*(1-0)</f>
        <v>13.9</v>
      </c>
      <c r="D22" s="7">
        <v>3</v>
      </c>
      <c r="E22" s="8"/>
      <c r="F22" s="8"/>
      <c r="G22" s="8"/>
      <c r="X22" t="s">
        <v>14</v>
      </c>
      <c r="Y22">
        <v>0.5</v>
      </c>
    </row>
    <row r="23" spans="1:52" ht="17" thickBot="1" x14ac:dyDescent="0.25">
      <c r="D23" s="7">
        <v>3</v>
      </c>
      <c r="E23" s="8"/>
      <c r="F23" s="8"/>
      <c r="G23" s="8"/>
      <c r="H23" s="8"/>
      <c r="I23" s="8"/>
      <c r="J23" s="8"/>
      <c r="M23" s="8"/>
      <c r="N23" s="8" t="s">
        <v>79</v>
      </c>
      <c r="O23" s="8"/>
      <c r="P23" s="8"/>
      <c r="Q23" s="8"/>
      <c r="W23">
        <v>5.0000000000000001E-3</v>
      </c>
      <c r="X23" t="s">
        <v>12</v>
      </c>
      <c r="Y23">
        <v>0.5</v>
      </c>
      <c r="AA23" s="9"/>
      <c r="AB23" s="9"/>
      <c r="AC23" s="9"/>
      <c r="AD23" s="9"/>
      <c r="AE23" s="9"/>
      <c r="AF23" s="9"/>
      <c r="AG23" s="9"/>
      <c r="AH23" s="10"/>
      <c r="AI23" s="11"/>
      <c r="AJ23" s="11"/>
      <c r="AK23" s="12"/>
      <c r="AL23" s="10"/>
      <c r="AM23" s="11"/>
      <c r="AN23" s="11"/>
      <c r="AO23" s="11"/>
      <c r="AP23" s="11"/>
      <c r="AQ23" s="13"/>
      <c r="AS23" t="s">
        <v>185</v>
      </c>
      <c r="AT23">
        <v>15.01</v>
      </c>
      <c r="AW23">
        <f>AT23/5</f>
        <v>3.0019999999999998</v>
      </c>
    </row>
    <row r="24" spans="1:52" ht="64" x14ac:dyDescent="0.2">
      <c r="B24" s="14" t="s">
        <v>19</v>
      </c>
      <c r="C24" s="15" t="s">
        <v>20</v>
      </c>
      <c r="D24" s="7">
        <v>3</v>
      </c>
      <c r="E24" t="s">
        <v>22</v>
      </c>
      <c r="F24" s="16" t="s">
        <v>23</v>
      </c>
      <c r="G24" s="2" t="s">
        <v>214</v>
      </c>
      <c r="H24" s="2" t="s">
        <v>215</v>
      </c>
      <c r="I24" s="64" t="s">
        <v>341</v>
      </c>
      <c r="J24" s="64" t="s">
        <v>342</v>
      </c>
      <c r="K24" s="64" t="s">
        <v>343</v>
      </c>
      <c r="M24" s="85" t="s">
        <v>19</v>
      </c>
      <c r="N24" s="99" t="s">
        <v>78</v>
      </c>
      <c r="O24" s="87" t="s">
        <v>77</v>
      </c>
      <c r="P24" s="86" t="s">
        <v>75</v>
      </c>
      <c r="Q24" s="87" t="s">
        <v>76</v>
      </c>
      <c r="S24">
        <v>0.5</v>
      </c>
      <c r="T24">
        <f>S24*0.85</f>
        <v>0.42499999999999999</v>
      </c>
      <c r="Z24" s="124"/>
      <c r="AH24" s="17"/>
      <c r="AI24" s="18"/>
      <c r="AJ24" s="18"/>
      <c r="AK24" s="19"/>
      <c r="AL24" s="17"/>
      <c r="AM24" s="18"/>
      <c r="AN24" s="18"/>
      <c r="AO24" s="18"/>
      <c r="AP24" s="18"/>
      <c r="AQ24" s="19"/>
      <c r="AR24" s="17"/>
      <c r="AS24" s="18"/>
      <c r="AT24" s="18">
        <f>AZ17*2</f>
        <v>16.508000000000003</v>
      </c>
      <c r="AU24" s="19"/>
      <c r="AW24">
        <f>AW21*3</f>
        <v>16.806000000000001</v>
      </c>
    </row>
    <row r="25" spans="1:52" ht="24" x14ac:dyDescent="0.3">
      <c r="A25" s="58">
        <f>$C$22*C25*N25</f>
        <v>6.7137000000000002E-2</v>
      </c>
      <c r="B25" s="20">
        <v>1</v>
      </c>
      <c r="C25" s="21">
        <v>4.8300000000000001E-3</v>
      </c>
      <c r="D25" s="7">
        <v>3</v>
      </c>
      <c r="E25" s="23">
        <f>C25*$C$22</f>
        <v>6.7137000000000002E-2</v>
      </c>
      <c r="F25" s="348">
        <v>0.5</v>
      </c>
      <c r="G25" s="348">
        <v>0.05</v>
      </c>
      <c r="H25" s="348">
        <v>0.05</v>
      </c>
      <c r="I25" s="3">
        <v>0.99</v>
      </c>
      <c r="J25">
        <v>0.10199999999999999</v>
      </c>
      <c r="K25" s="25">
        <v>4.9000000000000002E-2</v>
      </c>
      <c r="L25">
        <v>2013</v>
      </c>
      <c r="M25" s="83">
        <v>1</v>
      </c>
      <c r="N25" s="94">
        <v>1</v>
      </c>
      <c r="O25" s="96">
        <v>0.1</v>
      </c>
      <c r="P25" s="92">
        <v>1</v>
      </c>
      <c r="Q25" s="93">
        <v>0.15</v>
      </c>
      <c r="R25" s="347">
        <f>(P25/N25)^(1/(2050-2018))-1</f>
        <v>0</v>
      </c>
      <c r="S25" s="347">
        <f>(Q25/O25)^(1/(2050-2018))-1</f>
        <v>1.2751399143162034E-2</v>
      </c>
      <c r="T25" s="316">
        <f>0.944-1.17*EXP(- 0.00298*F3)</f>
        <v>-0.1171260682708033</v>
      </c>
      <c r="U25" s="316">
        <f>0.944-1.17*EXP(- 0.00298*G3)</f>
        <v>9.2544369070757693E-2</v>
      </c>
      <c r="V25" s="134">
        <f>N25*$C25*$C$22</f>
        <v>6.7137000000000002E-2</v>
      </c>
      <c r="W25" s="134">
        <f>O25*$C25*$C$22</f>
        <v>6.7137000000000004E-3</v>
      </c>
      <c r="X25" s="83">
        <v>1</v>
      </c>
      <c r="Y25" s="125">
        <f t="shared" ref="Y25:Y41" si="13">W25*$Y$22*$Y$23</f>
        <v>1.6784250000000001E-3</v>
      </c>
      <c r="Z25" s="126">
        <f t="shared" ref="Z25:Z40" si="14">W25*$Y$22*$Y$23*O25</f>
        <v>1.6784250000000003E-4</v>
      </c>
      <c r="AA25" s="26">
        <f>Y25-Z25</f>
        <v>1.5105825000000001E-3</v>
      </c>
      <c r="AB25" s="130">
        <f>Z25*4 +AA25*4</f>
        <v>6.7137000000000004E-3</v>
      </c>
      <c r="AC25" s="26"/>
      <c r="AD25" s="26">
        <f>68*4</f>
        <v>272</v>
      </c>
      <c r="AE25" s="9">
        <f>8*4</f>
        <v>32</v>
      </c>
      <c r="AF25" s="9">
        <f>SUM(AD25:AE25)</f>
        <v>304</v>
      </c>
      <c r="AG25" s="9"/>
      <c r="AH25" s="27">
        <f>1343*4</f>
        <v>5372</v>
      </c>
      <c r="AI25" s="28">
        <f>168*4</f>
        <v>672</v>
      </c>
      <c r="AJ25" s="29">
        <f>SUM(AH25:AI25)</f>
        <v>6044</v>
      </c>
      <c r="AK25" s="30"/>
      <c r="AL25" s="31"/>
      <c r="AM25" s="28"/>
      <c r="AN25" s="28"/>
      <c r="AO25" s="32"/>
      <c r="AP25" s="18"/>
      <c r="AQ25" s="19"/>
      <c r="AT25" s="7"/>
      <c r="AU25" s="9"/>
    </row>
    <row r="26" spans="1:52" ht="24" x14ac:dyDescent="0.3">
      <c r="A26" s="58">
        <f t="shared" ref="A26:A40" si="15">$C$22*C26*N26</f>
        <v>0.34207900000000002</v>
      </c>
      <c r="B26" s="33">
        <v>2</v>
      </c>
      <c r="C26" s="21">
        <v>2.461E-2</v>
      </c>
      <c r="D26" s="7">
        <v>3</v>
      </c>
      <c r="E26" s="34">
        <f t="shared" ref="E26:E39" si="16">C26*$C$22</f>
        <v>0.34207900000000002</v>
      </c>
      <c r="F26" s="349">
        <f>F25</f>
        <v>0.5</v>
      </c>
      <c r="G26" s="348">
        <f>G25</f>
        <v>0.05</v>
      </c>
      <c r="H26" s="350">
        <f>H25</f>
        <v>0.05</v>
      </c>
      <c r="I26" s="3">
        <v>0.5</v>
      </c>
      <c r="J26">
        <v>0.05</v>
      </c>
      <c r="K26" s="25">
        <v>2.5999999999999999E-2</v>
      </c>
      <c r="L26">
        <v>2016</v>
      </c>
      <c r="M26" s="84">
        <v>2</v>
      </c>
      <c r="N26" s="94">
        <f>N25</f>
        <v>1</v>
      </c>
      <c r="O26" s="96">
        <v>0.1</v>
      </c>
      <c r="P26" s="95">
        <v>1</v>
      </c>
      <c r="Q26" s="96">
        <v>0.15</v>
      </c>
      <c r="R26" s="347">
        <f t="shared" ref="R26:R40" si="17">(P26/N26)^(1/(2050-2018))-1</f>
        <v>0</v>
      </c>
      <c r="S26" s="347">
        <f t="shared" ref="S26:S40" si="18">(Q26/O26)^(1/(2050-2018))-1</f>
        <v>1.2751399143162034E-2</v>
      </c>
      <c r="T26" s="316">
        <f t="shared" ref="T26:T40" si="19">0.944-1.17*EXP(- 0.00298*F4)</f>
        <v>0.60149174904495606</v>
      </c>
      <c r="U26" s="316">
        <f t="shared" ref="U26:U40" si="20">0.944-1.17*EXP(- 0.00298*G4)</f>
        <v>0.80025727527445412</v>
      </c>
      <c r="V26" s="134">
        <f t="shared" ref="V26:V40" si="21">N26*C26*$C$22</f>
        <v>0.34207900000000002</v>
      </c>
      <c r="W26" s="134">
        <f t="shared" ref="W26:W38" si="22">O26*$C26*$C$22</f>
        <v>3.4207899999999999E-2</v>
      </c>
      <c r="X26" s="84">
        <v>2</v>
      </c>
      <c r="Y26" s="125">
        <f t="shared" si="13"/>
        <v>8.5519749999999999E-3</v>
      </c>
      <c r="Z26" s="126">
        <f t="shared" si="14"/>
        <v>8.5519749999999999E-4</v>
      </c>
      <c r="AA26" s="26">
        <f t="shared" ref="AA26:AA40" si="23">Y26-Z26</f>
        <v>7.6967774999999999E-3</v>
      </c>
      <c r="AB26" s="130">
        <f t="shared" ref="AB26:AB40" si="24">Z26*4 +AA26*4</f>
        <v>3.4207899999999999E-2</v>
      </c>
      <c r="AC26" s="26"/>
      <c r="AD26" s="26"/>
      <c r="AE26" s="9"/>
      <c r="AF26" s="9"/>
      <c r="AG26" s="9"/>
      <c r="AH26" s="27"/>
      <c r="AI26" s="28"/>
      <c r="AJ26" s="29"/>
      <c r="AK26" s="30"/>
      <c r="AL26" s="31"/>
      <c r="AM26" s="29"/>
      <c r="AN26" s="28"/>
      <c r="AO26" s="32"/>
      <c r="AP26" s="18"/>
      <c r="AQ26" s="19"/>
      <c r="AS26" t="s">
        <v>186</v>
      </c>
      <c r="AT26" s="26">
        <f>AZ17*4</f>
        <v>33.016000000000005</v>
      </c>
      <c r="AU26" s="9"/>
      <c r="AW26" s="9">
        <f>AW23*1</f>
        <v>3.0019999999999998</v>
      </c>
      <c r="AX26" s="7"/>
    </row>
    <row r="27" spans="1:52" ht="24" x14ac:dyDescent="0.3">
      <c r="A27" s="58">
        <f t="shared" si="15"/>
        <v>1.409321</v>
      </c>
      <c r="B27" s="20">
        <v>3</v>
      </c>
      <c r="C27" s="21">
        <v>0.10138999999999999</v>
      </c>
      <c r="D27" s="7">
        <v>3</v>
      </c>
      <c r="E27" s="34">
        <f t="shared" si="16"/>
        <v>1.409321</v>
      </c>
      <c r="F27" s="349">
        <f t="shared" ref="F27:F40" si="25">F26</f>
        <v>0.5</v>
      </c>
      <c r="G27" s="348">
        <f t="shared" ref="G27:G40" si="26">G26</f>
        <v>0.05</v>
      </c>
      <c r="H27" s="350">
        <f t="shared" ref="H27:H40" si="27">H26</f>
        <v>0.05</v>
      </c>
      <c r="I27" s="134">
        <v>0.3</v>
      </c>
      <c r="J27" s="132">
        <v>2.5000000000000001E-2</v>
      </c>
      <c r="K27">
        <v>2.5999999999999999E-2</v>
      </c>
      <c r="L27">
        <v>2019</v>
      </c>
      <c r="M27" s="83">
        <v>3</v>
      </c>
      <c r="N27" s="94">
        <f t="shared" ref="N27:N40" si="28">N26</f>
        <v>1</v>
      </c>
      <c r="O27" s="96">
        <v>0.1</v>
      </c>
      <c r="P27" s="95">
        <v>1</v>
      </c>
      <c r="Q27" s="96">
        <v>0.15</v>
      </c>
      <c r="R27" s="347">
        <f t="shared" si="17"/>
        <v>0</v>
      </c>
      <c r="S27" s="347">
        <f t="shared" si="18"/>
        <v>1.2751399143162034E-2</v>
      </c>
      <c r="T27" s="316">
        <f t="shared" si="19"/>
        <v>0.18632979304621278</v>
      </c>
      <c r="U27" s="316">
        <f t="shared" si="20"/>
        <v>0.53102293125825528</v>
      </c>
      <c r="V27" s="134">
        <f t="shared" si="21"/>
        <v>1.409321</v>
      </c>
      <c r="W27" s="134">
        <f t="shared" si="22"/>
        <v>0.1409321</v>
      </c>
      <c r="X27" s="83">
        <v>3</v>
      </c>
      <c r="Y27" s="125">
        <f t="shared" si="13"/>
        <v>3.5233025000000001E-2</v>
      </c>
      <c r="Z27" s="126">
        <f t="shared" si="14"/>
        <v>3.5233025000000005E-3</v>
      </c>
      <c r="AA27" s="26">
        <f t="shared" si="23"/>
        <v>3.1709722500000002E-2</v>
      </c>
      <c r="AB27" s="130">
        <f t="shared" si="24"/>
        <v>0.1409321</v>
      </c>
      <c r="AC27" s="26"/>
      <c r="AD27" s="26"/>
      <c r="AE27" s="9"/>
      <c r="AF27" s="9"/>
      <c r="AG27" s="9"/>
      <c r="AH27" s="35"/>
      <c r="AI27" s="36"/>
      <c r="AJ27" s="29"/>
      <c r="AK27" s="37"/>
      <c r="AL27" s="35"/>
      <c r="AM27" s="36"/>
      <c r="AN27" s="36"/>
      <c r="AO27" s="32"/>
      <c r="AP27" s="32"/>
      <c r="AQ27" s="38"/>
      <c r="AT27" s="7"/>
      <c r="AU27" s="9"/>
      <c r="AW27" s="7"/>
      <c r="AX27" s="7"/>
    </row>
    <row r="28" spans="1:52" ht="24" x14ac:dyDescent="0.3">
      <c r="A28" s="58">
        <f t="shared" si="15"/>
        <v>0.73989700000000003</v>
      </c>
      <c r="B28" s="20">
        <v>4</v>
      </c>
      <c r="C28" s="21">
        <v>5.323E-2</v>
      </c>
      <c r="D28" s="7">
        <v>3</v>
      </c>
      <c r="E28" s="34">
        <f t="shared" si="16"/>
        <v>0.73989700000000003</v>
      </c>
      <c r="F28" s="349">
        <f t="shared" si="25"/>
        <v>0.5</v>
      </c>
      <c r="G28" s="348">
        <f t="shared" si="26"/>
        <v>0.05</v>
      </c>
      <c r="H28" s="350">
        <f t="shared" si="27"/>
        <v>0.05</v>
      </c>
      <c r="I28" s="133"/>
      <c r="J28" s="133"/>
      <c r="M28" s="83">
        <v>4</v>
      </c>
      <c r="N28" s="94">
        <f t="shared" si="28"/>
        <v>1</v>
      </c>
      <c r="O28" s="96">
        <v>0.1</v>
      </c>
      <c r="P28" s="95">
        <v>1</v>
      </c>
      <c r="Q28" s="96">
        <v>0.15</v>
      </c>
      <c r="R28" s="347">
        <f t="shared" si="17"/>
        <v>0</v>
      </c>
      <c r="S28" s="347">
        <f t="shared" si="18"/>
        <v>1.2751399143162034E-2</v>
      </c>
      <c r="T28" s="316">
        <f t="shared" si="19"/>
        <v>0.77689101776756997</v>
      </c>
      <c r="U28" s="316">
        <f t="shared" si="20"/>
        <v>0.89378810515206064</v>
      </c>
      <c r="V28" s="134">
        <f t="shared" si="21"/>
        <v>0.73989700000000003</v>
      </c>
      <c r="W28" s="134">
        <f t="shared" si="22"/>
        <v>7.3989700000000005E-2</v>
      </c>
      <c r="X28" s="83">
        <v>4</v>
      </c>
      <c r="Y28" s="125">
        <f t="shared" si="13"/>
        <v>1.8497425000000001E-2</v>
      </c>
      <c r="Z28" s="126">
        <f t="shared" si="14"/>
        <v>1.8497425000000003E-3</v>
      </c>
      <c r="AA28" s="26">
        <f t="shared" si="23"/>
        <v>1.66476825E-2</v>
      </c>
      <c r="AB28" s="130">
        <f t="shared" si="24"/>
        <v>7.3989700000000005E-2</v>
      </c>
      <c r="AC28" s="26"/>
      <c r="AD28" s="26"/>
      <c r="AE28" s="9"/>
      <c r="AF28" s="9"/>
      <c r="AG28" s="9"/>
      <c r="AH28" s="27"/>
      <c r="AI28" s="29"/>
      <c r="AJ28" s="29"/>
      <c r="AK28" s="39"/>
      <c r="AL28" s="27"/>
      <c r="AM28" s="29"/>
      <c r="AN28" s="29"/>
      <c r="AO28" s="29"/>
      <c r="AP28" s="40"/>
      <c r="AQ28" s="39"/>
      <c r="AT28" s="9">
        <f>AZ17*3</f>
        <v>24.762000000000004</v>
      </c>
      <c r="AU28" s="9"/>
      <c r="AW28" s="26">
        <f>AW26*2</f>
        <v>6.0039999999999996</v>
      </c>
      <c r="AX28" s="132">
        <f>BA15*2</f>
        <v>9.1999999999999998E-2</v>
      </c>
      <c r="AY28" s="7"/>
    </row>
    <row r="29" spans="1:52" ht="24" x14ac:dyDescent="0.3">
      <c r="A29" s="58">
        <f t="shared" si="15"/>
        <v>0.17305499999999999</v>
      </c>
      <c r="B29" s="33">
        <v>5</v>
      </c>
      <c r="C29" s="21">
        <v>1.2449999999999999E-2</v>
      </c>
      <c r="D29" s="7">
        <v>3</v>
      </c>
      <c r="E29" s="34">
        <f t="shared" si="16"/>
        <v>0.17305499999999999</v>
      </c>
      <c r="F29" s="349">
        <f t="shared" si="25"/>
        <v>0.5</v>
      </c>
      <c r="G29" s="348">
        <f t="shared" si="26"/>
        <v>0.05</v>
      </c>
      <c r="H29" s="350">
        <f t="shared" si="27"/>
        <v>0.05</v>
      </c>
      <c r="I29" s="5">
        <f>E25*0.9*10^6</f>
        <v>60423.3</v>
      </c>
      <c r="J29" s="7">
        <v>53</v>
      </c>
      <c r="K29">
        <v>7</v>
      </c>
      <c r="M29" s="84">
        <v>5</v>
      </c>
      <c r="N29" s="94">
        <f t="shared" si="28"/>
        <v>1</v>
      </c>
      <c r="O29" s="96">
        <v>0.1</v>
      </c>
      <c r="P29" s="95">
        <v>1</v>
      </c>
      <c r="Q29" s="96">
        <v>0.15</v>
      </c>
      <c r="R29" s="347">
        <f t="shared" si="17"/>
        <v>0</v>
      </c>
      <c r="S29" s="347">
        <f t="shared" si="18"/>
        <v>1.2751399143162034E-2</v>
      </c>
      <c r="T29" s="316">
        <f t="shared" si="19"/>
        <v>0.16563392744366245</v>
      </c>
      <c r="U29" s="316">
        <f t="shared" si="20"/>
        <v>0.53093431339180153</v>
      </c>
      <c r="V29" s="134">
        <f t="shared" si="21"/>
        <v>0.17305499999999999</v>
      </c>
      <c r="W29" s="134">
        <f t="shared" si="22"/>
        <v>1.7305500000000001E-2</v>
      </c>
      <c r="X29" s="84">
        <v>5</v>
      </c>
      <c r="Y29" s="125">
        <f t="shared" si="13"/>
        <v>4.3263750000000004E-3</v>
      </c>
      <c r="Z29" s="126">
        <f t="shared" si="14"/>
        <v>4.3263750000000005E-4</v>
      </c>
      <c r="AA29" s="26">
        <f t="shared" si="23"/>
        <v>3.8937375000000001E-3</v>
      </c>
      <c r="AB29" s="130">
        <f t="shared" si="24"/>
        <v>1.7305500000000001E-2</v>
      </c>
      <c r="AC29" s="26"/>
      <c r="AD29" s="26"/>
      <c r="AE29" s="9"/>
      <c r="AF29" s="9"/>
      <c r="AG29" s="9"/>
      <c r="AH29" s="17"/>
      <c r="AI29" s="18"/>
      <c r="AJ29" s="18"/>
      <c r="AK29" s="19"/>
      <c r="AL29" s="17"/>
      <c r="AM29" s="18"/>
      <c r="AN29" s="18"/>
      <c r="AO29" s="18"/>
      <c r="AP29" s="18"/>
      <c r="AQ29" s="19"/>
    </row>
    <row r="30" spans="1:52" ht="24" x14ac:dyDescent="0.3">
      <c r="A30" s="58">
        <f t="shared" si="15"/>
        <v>1.068354</v>
      </c>
      <c r="B30" s="20">
        <v>6</v>
      </c>
      <c r="C30" s="21">
        <v>7.6859999999999998E-2</v>
      </c>
      <c r="D30" s="7">
        <v>3</v>
      </c>
      <c r="E30" s="34">
        <f t="shared" si="16"/>
        <v>1.068354</v>
      </c>
      <c r="F30" s="349">
        <f t="shared" si="25"/>
        <v>0.5</v>
      </c>
      <c r="G30" s="348">
        <f t="shared" si="26"/>
        <v>0.05</v>
      </c>
      <c r="H30" s="350">
        <f t="shared" si="27"/>
        <v>0.05</v>
      </c>
      <c r="I30" s="5">
        <f>E26*0.9*10^6</f>
        <v>307871.10000000003</v>
      </c>
      <c r="J30" s="7">
        <v>274</v>
      </c>
      <c r="K30">
        <v>34</v>
      </c>
      <c r="M30" s="83">
        <v>6</v>
      </c>
      <c r="N30" s="94">
        <f t="shared" si="28"/>
        <v>1</v>
      </c>
      <c r="O30" s="96">
        <v>0.5</v>
      </c>
      <c r="P30" s="95">
        <v>1</v>
      </c>
      <c r="Q30" s="96">
        <v>0.65</v>
      </c>
      <c r="R30" s="347">
        <f t="shared" si="17"/>
        <v>0</v>
      </c>
      <c r="S30" s="347">
        <f t="shared" si="18"/>
        <v>8.2325861537202449E-3</v>
      </c>
      <c r="T30" s="316">
        <f t="shared" si="19"/>
        <v>0.79165964613705264</v>
      </c>
      <c r="U30" s="316">
        <f t="shared" si="20"/>
        <v>0.9021769832560439</v>
      </c>
      <c r="V30" s="134">
        <f t="shared" si="21"/>
        <v>1.068354</v>
      </c>
      <c r="W30" s="134">
        <f t="shared" si="22"/>
        <v>0.53417700000000001</v>
      </c>
      <c r="X30" s="83">
        <v>6</v>
      </c>
      <c r="Y30" s="125">
        <f t="shared" si="13"/>
        <v>0.13354425</v>
      </c>
      <c r="Z30" s="126">
        <f t="shared" si="14"/>
        <v>6.6772125000000002E-2</v>
      </c>
      <c r="AA30" s="26">
        <f t="shared" si="23"/>
        <v>6.6772125000000002E-2</v>
      </c>
      <c r="AB30" s="130">
        <f t="shared" si="24"/>
        <v>0.53417700000000001</v>
      </c>
      <c r="AC30" s="26"/>
      <c r="AD30" s="26"/>
      <c r="AE30" s="9"/>
      <c r="AF30" s="9"/>
      <c r="AG30" s="9"/>
      <c r="AH30" s="17"/>
      <c r="AI30" s="18"/>
      <c r="AJ30" s="18"/>
      <c r="AK30" s="19"/>
      <c r="AL30" s="17"/>
      <c r="AM30" s="18"/>
      <c r="AN30" s="18"/>
      <c r="AO30" s="18"/>
      <c r="AP30" s="41"/>
      <c r="AQ30" s="19"/>
      <c r="AT30">
        <f>AZ17*3</f>
        <v>24.762000000000004</v>
      </c>
    </row>
    <row r="31" spans="1:52" ht="24" x14ac:dyDescent="0.3">
      <c r="A31" s="58">
        <f t="shared" si="15"/>
        <v>0.83636300000000008</v>
      </c>
      <c r="B31" s="20">
        <v>7</v>
      </c>
      <c r="C31" s="21">
        <v>6.0170000000000001E-2</v>
      </c>
      <c r="D31" s="7">
        <v>3</v>
      </c>
      <c r="E31" s="34">
        <f t="shared" si="16"/>
        <v>0.83636300000000008</v>
      </c>
      <c r="F31" s="349">
        <f t="shared" si="25"/>
        <v>0.5</v>
      </c>
      <c r="G31" s="348">
        <f t="shared" si="26"/>
        <v>0.05</v>
      </c>
      <c r="H31" s="350">
        <f t="shared" si="27"/>
        <v>0.05</v>
      </c>
      <c r="I31" s="5">
        <f>E27*0.9*10^6</f>
        <v>1268388.9000000001</v>
      </c>
      <c r="J31" s="7"/>
      <c r="M31" s="83">
        <v>7</v>
      </c>
      <c r="N31" s="94">
        <f t="shared" si="28"/>
        <v>1</v>
      </c>
      <c r="O31" s="96">
        <v>0.5</v>
      </c>
      <c r="P31" s="95">
        <v>1</v>
      </c>
      <c r="Q31" s="96">
        <f>Q30</f>
        <v>0.65</v>
      </c>
      <c r="R31" s="347">
        <f t="shared" si="17"/>
        <v>0</v>
      </c>
      <c r="S31" s="347">
        <f t="shared" si="18"/>
        <v>8.2325861537202449E-3</v>
      </c>
      <c r="T31" s="316">
        <f t="shared" si="19"/>
        <v>0.88931479553215043</v>
      </c>
      <c r="U31" s="316">
        <f t="shared" si="20"/>
        <v>0.93151256338867261</v>
      </c>
      <c r="V31" s="134">
        <f t="shared" si="21"/>
        <v>0.83636300000000008</v>
      </c>
      <c r="W31" s="134">
        <f t="shared" si="22"/>
        <v>0.41818150000000004</v>
      </c>
      <c r="X31" s="83">
        <v>7</v>
      </c>
      <c r="Y31" s="125">
        <f t="shared" si="13"/>
        <v>0.10454537500000001</v>
      </c>
      <c r="Z31" s="126">
        <f t="shared" si="14"/>
        <v>5.2272687500000005E-2</v>
      </c>
      <c r="AA31" s="26">
        <f t="shared" si="23"/>
        <v>5.2272687500000005E-2</v>
      </c>
      <c r="AB31" s="130">
        <f t="shared" si="24"/>
        <v>0.41818150000000004</v>
      </c>
      <c r="AC31" s="26"/>
      <c r="AD31" s="26"/>
      <c r="AE31" s="9"/>
      <c r="AF31" s="9"/>
      <c r="AG31" s="9"/>
      <c r="AH31" s="17"/>
      <c r="AI31" s="18"/>
      <c r="AJ31" s="18"/>
      <c r="AK31" s="19"/>
      <c r="AL31" s="17"/>
      <c r="AM31" s="18"/>
      <c r="AN31" s="18"/>
      <c r="AO31" s="18"/>
      <c r="AP31" s="18"/>
      <c r="AQ31" s="19"/>
      <c r="AT31">
        <f>AZ17*2</f>
        <v>16.508000000000003</v>
      </c>
      <c r="AW31" s="9">
        <f>AW26*3</f>
        <v>9.0060000000000002</v>
      </c>
    </row>
    <row r="32" spans="1:52" ht="24" x14ac:dyDescent="0.3">
      <c r="A32" s="58">
        <f t="shared" si="15"/>
        <v>1.720264</v>
      </c>
      <c r="B32" s="33">
        <v>8</v>
      </c>
      <c r="C32" s="21">
        <v>0.12376</v>
      </c>
      <c r="D32" s="7">
        <v>3</v>
      </c>
      <c r="E32" s="34">
        <f t="shared" si="16"/>
        <v>1.720264</v>
      </c>
      <c r="F32" s="349">
        <f t="shared" si="25"/>
        <v>0.5</v>
      </c>
      <c r="G32" s="348">
        <f t="shared" si="26"/>
        <v>0.05</v>
      </c>
      <c r="H32" s="350">
        <f t="shared" si="27"/>
        <v>0.05</v>
      </c>
      <c r="I32" s="134"/>
      <c r="J32" s="7"/>
      <c r="M32" s="84">
        <v>8</v>
      </c>
      <c r="N32" s="94">
        <f t="shared" si="28"/>
        <v>1</v>
      </c>
      <c r="O32" s="96">
        <v>0.5</v>
      </c>
      <c r="P32" s="95">
        <v>1</v>
      </c>
      <c r="Q32" s="96">
        <f t="shared" ref="Q32:Q37" si="29">Q31</f>
        <v>0.65</v>
      </c>
      <c r="R32" s="347">
        <f t="shared" si="17"/>
        <v>0</v>
      </c>
      <c r="S32" s="347">
        <f t="shared" si="18"/>
        <v>8.2325861537202449E-3</v>
      </c>
      <c r="T32" s="316">
        <f t="shared" si="19"/>
        <v>0.9076408305080903</v>
      </c>
      <c r="U32" s="316">
        <f t="shared" si="20"/>
        <v>0.93715054129631581</v>
      </c>
      <c r="V32" s="134">
        <f t="shared" si="21"/>
        <v>1.720264</v>
      </c>
      <c r="W32" s="134">
        <f t="shared" si="22"/>
        <v>0.86013200000000001</v>
      </c>
      <c r="X32" s="84">
        <v>8</v>
      </c>
      <c r="Y32" s="125">
        <f t="shared" si="13"/>
        <v>0.215033</v>
      </c>
      <c r="Z32" s="126">
        <f t="shared" si="14"/>
        <v>0.1075165</v>
      </c>
      <c r="AA32" s="26">
        <f t="shared" si="23"/>
        <v>0.1075165</v>
      </c>
      <c r="AB32" s="130">
        <f t="shared" si="24"/>
        <v>0.86013200000000001</v>
      </c>
      <c r="AC32" s="26"/>
      <c r="AD32" s="26">
        <f>1060*4</f>
        <v>4240</v>
      </c>
      <c r="AE32" s="9">
        <f>875*4</f>
        <v>3500</v>
      </c>
      <c r="AF32" s="9">
        <f>SUM(AD32:AE32)</f>
        <v>7740</v>
      </c>
      <c r="AG32" s="9"/>
      <c r="AH32" s="17"/>
      <c r="AI32" s="18"/>
      <c r="AJ32" s="18"/>
      <c r="AK32" s="19"/>
      <c r="AL32" s="17"/>
      <c r="AM32" s="18"/>
      <c r="AN32" s="18"/>
      <c r="AO32" s="18"/>
      <c r="AP32" s="18"/>
      <c r="AQ32" s="19"/>
    </row>
    <row r="33" spans="1:43" ht="24" x14ac:dyDescent="0.3">
      <c r="A33" s="58">
        <f t="shared" si="15"/>
        <v>2.22261</v>
      </c>
      <c r="B33" s="20">
        <v>9</v>
      </c>
      <c r="C33" s="21">
        <v>0.15989999999999999</v>
      </c>
      <c r="D33" s="7">
        <v>3</v>
      </c>
      <c r="E33" s="34">
        <f t="shared" si="16"/>
        <v>2.22261</v>
      </c>
      <c r="F33" s="349">
        <f t="shared" si="25"/>
        <v>0.5</v>
      </c>
      <c r="G33" s="348">
        <f t="shared" si="26"/>
        <v>0.05</v>
      </c>
      <c r="H33" s="350">
        <f t="shared" si="27"/>
        <v>0.05</v>
      </c>
      <c r="I33" s="134"/>
      <c r="J33" s="7"/>
      <c r="M33" s="83">
        <v>9</v>
      </c>
      <c r="N33" s="94">
        <f t="shared" si="28"/>
        <v>1</v>
      </c>
      <c r="O33" s="96">
        <v>0.5</v>
      </c>
      <c r="P33" s="95">
        <v>1</v>
      </c>
      <c r="Q33" s="96">
        <f t="shared" si="29"/>
        <v>0.65</v>
      </c>
      <c r="R33" s="347">
        <f t="shared" si="17"/>
        <v>0</v>
      </c>
      <c r="S33" s="347">
        <f t="shared" si="18"/>
        <v>8.2325861537202449E-3</v>
      </c>
      <c r="T33" s="316">
        <f t="shared" si="19"/>
        <v>0.92666027923349237</v>
      </c>
      <c r="U33" s="316">
        <f t="shared" si="20"/>
        <v>0.9415694610380716</v>
      </c>
      <c r="V33" s="134">
        <f t="shared" si="21"/>
        <v>2.22261</v>
      </c>
      <c r="W33" s="134">
        <f t="shared" si="22"/>
        <v>1.111305</v>
      </c>
      <c r="X33" s="83">
        <v>9</v>
      </c>
      <c r="Y33" s="125">
        <f t="shared" si="13"/>
        <v>0.27782625</v>
      </c>
      <c r="Z33" s="126">
        <f t="shared" si="14"/>
        <v>0.138913125</v>
      </c>
      <c r="AA33" s="26">
        <f t="shared" si="23"/>
        <v>0.138913125</v>
      </c>
      <c r="AB33" s="130">
        <f t="shared" si="24"/>
        <v>1.111305</v>
      </c>
      <c r="AC33" s="26"/>
      <c r="AD33" s="26"/>
      <c r="AE33" s="9"/>
      <c r="AF33" s="9"/>
      <c r="AG33" s="9"/>
      <c r="AH33" s="17"/>
      <c r="AI33" s="18"/>
      <c r="AJ33" s="18"/>
      <c r="AK33" s="19"/>
      <c r="AL33" s="17"/>
      <c r="AM33" s="18"/>
      <c r="AN33" s="18"/>
      <c r="AO33" s="18"/>
      <c r="AP33" s="18"/>
      <c r="AQ33" s="19"/>
    </row>
    <row r="34" spans="1:43" ht="24" x14ac:dyDescent="0.3">
      <c r="A34" s="58">
        <f t="shared" si="15"/>
        <v>1.4942500000000001</v>
      </c>
      <c r="B34" s="20">
        <v>10</v>
      </c>
      <c r="C34" s="21">
        <v>0.1075</v>
      </c>
      <c r="D34" s="7">
        <v>3</v>
      </c>
      <c r="E34" s="34">
        <f t="shared" si="16"/>
        <v>1.4942500000000001</v>
      </c>
      <c r="F34" s="349">
        <f t="shared" si="25"/>
        <v>0.5</v>
      </c>
      <c r="G34" s="348">
        <f t="shared" si="26"/>
        <v>0.05</v>
      </c>
      <c r="H34" s="350">
        <f t="shared" si="27"/>
        <v>0.05</v>
      </c>
      <c r="I34" s="134"/>
      <c r="J34" s="7"/>
      <c r="M34" s="83">
        <v>10</v>
      </c>
      <c r="N34" s="94">
        <f t="shared" si="28"/>
        <v>1</v>
      </c>
      <c r="O34" s="96">
        <v>0.5</v>
      </c>
      <c r="P34" s="95">
        <v>1</v>
      </c>
      <c r="Q34" s="96">
        <f t="shared" si="29"/>
        <v>0.65</v>
      </c>
      <c r="R34" s="347">
        <f t="shared" si="17"/>
        <v>0</v>
      </c>
      <c r="S34" s="347">
        <f t="shared" si="18"/>
        <v>8.2325861537202449E-3</v>
      </c>
      <c r="T34" s="316">
        <f t="shared" si="19"/>
        <v>0.93656509956974776</v>
      </c>
      <c r="U34" s="316">
        <f t="shared" si="20"/>
        <v>0.94279044003546608</v>
      </c>
      <c r="V34" s="134">
        <f t="shared" si="21"/>
        <v>1.4942500000000001</v>
      </c>
      <c r="W34" s="134">
        <f t="shared" si="22"/>
        <v>0.74712500000000004</v>
      </c>
      <c r="X34" s="83">
        <v>10</v>
      </c>
      <c r="Y34" s="125">
        <f t="shared" si="13"/>
        <v>0.18678125000000001</v>
      </c>
      <c r="Z34" s="126">
        <f t="shared" si="14"/>
        <v>9.3390625000000005E-2</v>
      </c>
      <c r="AA34" s="26">
        <f t="shared" si="23"/>
        <v>9.3390625000000005E-2</v>
      </c>
      <c r="AB34" s="130">
        <f t="shared" si="24"/>
        <v>0.74712500000000004</v>
      </c>
      <c r="AC34" s="26"/>
      <c r="AD34" s="26"/>
      <c r="AF34" s="131"/>
      <c r="AG34" s="9"/>
      <c r="AH34" s="17"/>
      <c r="AI34" s="18"/>
      <c r="AJ34" s="18"/>
      <c r="AK34" s="19"/>
      <c r="AL34" s="17"/>
      <c r="AM34" s="18"/>
      <c r="AN34" s="18"/>
      <c r="AO34" s="18"/>
      <c r="AP34" s="18"/>
      <c r="AQ34" s="19"/>
    </row>
    <row r="35" spans="1:43" ht="24" x14ac:dyDescent="0.3">
      <c r="A35" s="58">
        <f t="shared" si="15"/>
        <v>0.395872</v>
      </c>
      <c r="B35" s="33">
        <v>11</v>
      </c>
      <c r="C35" s="21">
        <v>2.8479999999999998E-2</v>
      </c>
      <c r="D35" s="22">
        <f>D36</f>
        <v>6.2500000000000003E-3</v>
      </c>
      <c r="E35" s="34">
        <f t="shared" si="16"/>
        <v>0.395872</v>
      </c>
      <c r="F35" s="349">
        <f t="shared" si="25"/>
        <v>0.5</v>
      </c>
      <c r="G35" s="348">
        <f t="shared" si="26"/>
        <v>0.05</v>
      </c>
      <c r="H35" s="350">
        <f t="shared" si="27"/>
        <v>0.05</v>
      </c>
      <c r="I35" s="134"/>
      <c r="J35" s="7"/>
      <c r="M35" s="84">
        <v>11</v>
      </c>
      <c r="N35" s="94">
        <f t="shared" si="28"/>
        <v>1</v>
      </c>
      <c r="O35" s="96">
        <v>0.5</v>
      </c>
      <c r="P35" s="95">
        <v>1</v>
      </c>
      <c r="Q35" s="96">
        <f t="shared" si="29"/>
        <v>0.65</v>
      </c>
      <c r="R35" s="347">
        <f t="shared" si="17"/>
        <v>0</v>
      </c>
      <c r="S35" s="347">
        <f t="shared" si="18"/>
        <v>8.2325861537202449E-3</v>
      </c>
      <c r="T35" s="316">
        <f t="shared" si="19"/>
        <v>0.93780059780158553</v>
      </c>
      <c r="U35" s="316">
        <f t="shared" si="20"/>
        <v>0.94280077654343586</v>
      </c>
      <c r="V35" s="134">
        <f t="shared" si="21"/>
        <v>0.395872</v>
      </c>
      <c r="W35" s="134">
        <f t="shared" si="22"/>
        <v>0.197936</v>
      </c>
      <c r="X35" s="84">
        <v>11</v>
      </c>
      <c r="Y35" s="125">
        <f t="shared" si="13"/>
        <v>4.9484E-2</v>
      </c>
      <c r="Z35" s="126">
        <f t="shared" si="14"/>
        <v>2.4742E-2</v>
      </c>
      <c r="AA35" s="26">
        <f t="shared" si="23"/>
        <v>2.4742E-2</v>
      </c>
      <c r="AB35" s="130">
        <f t="shared" si="24"/>
        <v>0.197936</v>
      </c>
      <c r="AC35" s="26"/>
      <c r="AD35" s="26"/>
      <c r="AE35" s="9"/>
      <c r="AF35" s="9"/>
      <c r="AG35" s="9"/>
      <c r="AH35" s="17"/>
      <c r="AI35" s="18"/>
      <c r="AJ35" s="18"/>
      <c r="AK35" s="19"/>
      <c r="AL35" s="17"/>
      <c r="AM35" s="18"/>
      <c r="AN35" s="18"/>
      <c r="AO35" s="18"/>
      <c r="AP35" s="18"/>
      <c r="AQ35" s="19"/>
    </row>
    <row r="36" spans="1:43" ht="24" x14ac:dyDescent="0.3">
      <c r="A36" s="58">
        <f t="shared" si="15"/>
        <v>1.737778</v>
      </c>
      <c r="B36" s="20">
        <v>12</v>
      </c>
      <c r="C36" s="21">
        <v>0.12501999999999999</v>
      </c>
      <c r="D36" s="22">
        <f>D37</f>
        <v>6.2500000000000003E-3</v>
      </c>
      <c r="E36" s="34">
        <f t="shared" si="16"/>
        <v>1.737778</v>
      </c>
      <c r="F36" s="349">
        <f t="shared" si="25"/>
        <v>0.5</v>
      </c>
      <c r="G36" s="348">
        <f t="shared" si="26"/>
        <v>0.05</v>
      </c>
      <c r="H36" s="350">
        <f t="shared" si="27"/>
        <v>0.05</v>
      </c>
      <c r="I36" s="134"/>
      <c r="J36" s="7"/>
      <c r="M36" s="83">
        <v>12</v>
      </c>
      <c r="N36" s="94">
        <f t="shared" si="28"/>
        <v>1</v>
      </c>
      <c r="O36" s="96">
        <v>0.5</v>
      </c>
      <c r="P36" s="95">
        <v>1</v>
      </c>
      <c r="Q36" s="96">
        <f t="shared" si="29"/>
        <v>0.65</v>
      </c>
      <c r="R36" s="347">
        <f t="shared" si="17"/>
        <v>0</v>
      </c>
      <c r="S36" s="347">
        <f t="shared" si="18"/>
        <v>8.2325861537202449E-3</v>
      </c>
      <c r="T36" s="316">
        <f t="shared" si="19"/>
        <v>0.93363336715686351</v>
      </c>
      <c r="U36" s="316">
        <f t="shared" si="20"/>
        <v>0.94205556659180478</v>
      </c>
      <c r="V36" s="134">
        <f t="shared" si="21"/>
        <v>1.737778</v>
      </c>
      <c r="W36" s="134">
        <f t="shared" si="22"/>
        <v>0.86888900000000002</v>
      </c>
      <c r="X36" s="83">
        <v>12</v>
      </c>
      <c r="Y36" s="125">
        <f t="shared" si="13"/>
        <v>0.21722225000000001</v>
      </c>
      <c r="Z36" s="126">
        <f t="shared" si="14"/>
        <v>0.108611125</v>
      </c>
      <c r="AA36" s="26">
        <f t="shared" si="23"/>
        <v>0.108611125</v>
      </c>
      <c r="AB36" s="130">
        <f t="shared" si="24"/>
        <v>0.86888900000000002</v>
      </c>
      <c r="AC36" s="26"/>
      <c r="AD36" s="26">
        <v>74</v>
      </c>
      <c r="AE36" s="9">
        <v>417</v>
      </c>
      <c r="AF36" s="9">
        <v>245</v>
      </c>
      <c r="AG36" s="9">
        <v>31</v>
      </c>
      <c r="AH36" s="17">
        <v>52</v>
      </c>
      <c r="AI36" s="18"/>
      <c r="AJ36" s="18"/>
      <c r="AK36" s="19"/>
      <c r="AL36" s="17"/>
      <c r="AM36" s="18"/>
      <c r="AN36" s="18"/>
      <c r="AO36" s="18"/>
      <c r="AP36" s="18"/>
      <c r="AQ36" s="19"/>
    </row>
    <row r="37" spans="1:43" ht="24" x14ac:dyDescent="0.3">
      <c r="A37" s="58">
        <f t="shared" si="15"/>
        <v>0.87444899999999992</v>
      </c>
      <c r="B37" s="20">
        <v>13</v>
      </c>
      <c r="C37" s="21">
        <v>6.2909999999999994E-2</v>
      </c>
      <c r="D37" s="22">
        <f>D38</f>
        <v>6.2500000000000003E-3</v>
      </c>
      <c r="E37" s="34">
        <f t="shared" si="16"/>
        <v>0.87444899999999992</v>
      </c>
      <c r="F37" s="349">
        <f t="shared" si="25"/>
        <v>0.5</v>
      </c>
      <c r="G37" s="348">
        <f t="shared" si="26"/>
        <v>0.05</v>
      </c>
      <c r="H37" s="350">
        <f t="shared" si="27"/>
        <v>0.05</v>
      </c>
      <c r="I37" s="134"/>
      <c r="J37" s="7"/>
      <c r="M37" s="83">
        <v>13</v>
      </c>
      <c r="N37" s="94">
        <f t="shared" si="28"/>
        <v>1</v>
      </c>
      <c r="O37" s="96">
        <v>0.5</v>
      </c>
      <c r="P37" s="95">
        <v>1</v>
      </c>
      <c r="Q37" s="96">
        <f t="shared" si="29"/>
        <v>0.65</v>
      </c>
      <c r="R37" s="347">
        <f t="shared" si="17"/>
        <v>0</v>
      </c>
      <c r="S37" s="347">
        <f t="shared" si="18"/>
        <v>8.2325861537202449E-3</v>
      </c>
      <c r="T37" s="316">
        <f t="shared" si="19"/>
        <v>0.94201126366838916</v>
      </c>
      <c r="U37" s="316">
        <f t="shared" si="20"/>
        <v>0.943685122300848</v>
      </c>
      <c r="V37" s="134">
        <f t="shared" si="21"/>
        <v>0.87444899999999992</v>
      </c>
      <c r="W37" s="134">
        <f t="shared" si="22"/>
        <v>0.43722449999999996</v>
      </c>
      <c r="X37" s="83">
        <v>13</v>
      </c>
      <c r="Y37" s="125">
        <f t="shared" si="13"/>
        <v>0.10930612499999999</v>
      </c>
      <c r="Z37" s="126">
        <f t="shared" si="14"/>
        <v>5.4653062499999995E-2</v>
      </c>
      <c r="AA37" s="26">
        <f t="shared" si="23"/>
        <v>5.4653062499999995E-2</v>
      </c>
      <c r="AB37" s="130">
        <f t="shared" si="24"/>
        <v>0.43722449999999996</v>
      </c>
      <c r="AC37" s="26"/>
      <c r="AD37" s="26"/>
      <c r="AE37" s="9"/>
      <c r="AF37" s="9"/>
      <c r="AG37" s="9"/>
      <c r="AH37" s="17"/>
      <c r="AI37" s="18"/>
      <c r="AJ37" s="18"/>
      <c r="AK37" s="19"/>
      <c r="AL37" s="17"/>
      <c r="AM37" s="18"/>
      <c r="AN37" s="18"/>
      <c r="AO37" s="18"/>
      <c r="AP37" s="18"/>
      <c r="AQ37" s="19"/>
    </row>
    <row r="38" spans="1:43" ht="24" x14ac:dyDescent="0.3">
      <c r="A38" s="58">
        <f t="shared" si="15"/>
        <v>0.329013</v>
      </c>
      <c r="B38" s="33">
        <v>14</v>
      </c>
      <c r="C38" s="21">
        <v>2.367E-2</v>
      </c>
      <c r="D38" s="22">
        <f>D39</f>
        <v>6.2500000000000003E-3</v>
      </c>
      <c r="E38" s="34">
        <f t="shared" si="16"/>
        <v>0.329013</v>
      </c>
      <c r="F38" s="349">
        <f t="shared" si="25"/>
        <v>0.5</v>
      </c>
      <c r="G38" s="348">
        <f t="shared" si="26"/>
        <v>0.05</v>
      </c>
      <c r="H38" s="350">
        <f t="shared" si="27"/>
        <v>0.05</v>
      </c>
      <c r="I38" s="134"/>
      <c r="J38" s="7"/>
      <c r="M38" s="84">
        <v>14</v>
      </c>
      <c r="N38" s="94">
        <v>1</v>
      </c>
      <c r="O38" s="96">
        <v>0.5</v>
      </c>
      <c r="P38" s="95">
        <v>1</v>
      </c>
      <c r="Q38" s="96">
        <v>0.65</v>
      </c>
      <c r="R38" s="347">
        <f t="shared" si="17"/>
        <v>0</v>
      </c>
      <c r="S38" s="347">
        <f t="shared" si="18"/>
        <v>8.2325861537202449E-3</v>
      </c>
      <c r="T38" s="316">
        <f t="shared" si="19"/>
        <v>0.9437437363732053</v>
      </c>
      <c r="U38" s="316">
        <f t="shared" si="20"/>
        <v>0.94396446047324578</v>
      </c>
      <c r="V38" s="134">
        <f t="shared" si="21"/>
        <v>0.329013</v>
      </c>
      <c r="W38" s="134">
        <f t="shared" si="22"/>
        <v>0.1645065</v>
      </c>
      <c r="X38" s="84">
        <v>14</v>
      </c>
      <c r="Y38" s="125">
        <f t="shared" si="13"/>
        <v>4.1126625E-2</v>
      </c>
      <c r="Z38" s="126">
        <f t="shared" si="14"/>
        <v>2.05633125E-2</v>
      </c>
      <c r="AA38" s="26">
        <f t="shared" si="23"/>
        <v>2.05633125E-2</v>
      </c>
      <c r="AB38" s="130">
        <f t="shared" si="24"/>
        <v>0.1645065</v>
      </c>
      <c r="AC38" s="26"/>
      <c r="AD38" s="26"/>
      <c r="AE38" s="9"/>
      <c r="AF38" s="9"/>
      <c r="AG38" s="9"/>
      <c r="AH38" s="17"/>
      <c r="AI38" s="18"/>
      <c r="AJ38" s="18"/>
      <c r="AK38" s="19"/>
      <c r="AL38" s="17"/>
      <c r="AM38" s="18"/>
      <c r="AN38" s="18"/>
      <c r="AO38" s="18"/>
      <c r="AP38" s="18"/>
      <c r="AQ38" s="19"/>
    </row>
    <row r="39" spans="1:43" ht="24" x14ac:dyDescent="0.3">
      <c r="A39" s="58">
        <f t="shared" si="15"/>
        <v>0.24464000000000002</v>
      </c>
      <c r="B39" s="20">
        <v>15</v>
      </c>
      <c r="C39" s="21">
        <v>1.7600000000000001E-2</v>
      </c>
      <c r="D39" s="22">
        <f>D40</f>
        <v>6.2500000000000003E-3</v>
      </c>
      <c r="E39" s="34">
        <f t="shared" si="16"/>
        <v>0.24464000000000002</v>
      </c>
      <c r="F39" s="349">
        <f t="shared" si="25"/>
        <v>0.5</v>
      </c>
      <c r="G39" s="348">
        <f t="shared" si="26"/>
        <v>0.05</v>
      </c>
      <c r="H39" s="350">
        <f t="shared" si="27"/>
        <v>0.05</v>
      </c>
      <c r="I39" s="134"/>
      <c r="J39" s="7"/>
      <c r="M39" s="83">
        <v>15</v>
      </c>
      <c r="N39" s="94">
        <f t="shared" si="28"/>
        <v>1</v>
      </c>
      <c r="O39" s="96">
        <v>0.6</v>
      </c>
      <c r="P39" s="95">
        <v>1</v>
      </c>
      <c r="Q39" s="96">
        <v>0.65</v>
      </c>
      <c r="R39" s="347">
        <f t="shared" si="17"/>
        <v>0</v>
      </c>
      <c r="S39" s="347">
        <f t="shared" si="18"/>
        <v>2.5044655621970779E-3</v>
      </c>
      <c r="T39" s="316">
        <f t="shared" si="19"/>
        <v>0.94399558922898819</v>
      </c>
      <c r="U39" s="316">
        <f t="shared" si="20"/>
        <v>0.94399956206680069</v>
      </c>
      <c r="V39" s="134">
        <f t="shared" si="21"/>
        <v>0.24464000000000002</v>
      </c>
      <c r="W39" s="134">
        <f>O39*$C39*$C$22</f>
        <v>0.146784</v>
      </c>
      <c r="X39" s="83">
        <v>15</v>
      </c>
      <c r="Y39" s="125">
        <f t="shared" si="13"/>
        <v>3.6695999999999999E-2</v>
      </c>
      <c r="Z39" s="126">
        <f t="shared" si="14"/>
        <v>2.2017599999999998E-2</v>
      </c>
      <c r="AA39" s="26">
        <f t="shared" si="23"/>
        <v>1.4678400000000001E-2</v>
      </c>
      <c r="AB39" s="130">
        <f t="shared" si="24"/>
        <v>0.146784</v>
      </c>
      <c r="AC39" s="26"/>
      <c r="AD39" s="26">
        <f>122*4</f>
        <v>488</v>
      </c>
      <c r="AE39" s="9">
        <f>153*4</f>
        <v>612</v>
      </c>
      <c r="AF39" s="9">
        <f>AD39+AE39</f>
        <v>1100</v>
      </c>
      <c r="AG39" s="9"/>
      <c r="AH39" s="17"/>
      <c r="AI39" s="18"/>
      <c r="AJ39" s="18"/>
      <c r="AK39" s="19"/>
      <c r="AL39" s="17"/>
      <c r="AM39" s="18"/>
      <c r="AN39" s="18"/>
      <c r="AO39" s="18"/>
      <c r="AP39" s="18"/>
      <c r="AQ39" s="19"/>
    </row>
    <row r="40" spans="1:43" ht="24" x14ac:dyDescent="0.3">
      <c r="A40" s="58">
        <f t="shared" si="15"/>
        <v>0.245057</v>
      </c>
      <c r="B40" s="20">
        <v>16</v>
      </c>
      <c r="C40" s="21">
        <v>1.763E-2</v>
      </c>
      <c r="D40" s="22">
        <v>6.2500000000000003E-3</v>
      </c>
      <c r="E40" s="42">
        <f>C40*$C$22</f>
        <v>0.245057</v>
      </c>
      <c r="F40" s="349">
        <f t="shared" si="25"/>
        <v>0.5</v>
      </c>
      <c r="G40" s="348">
        <f t="shared" si="26"/>
        <v>0.05</v>
      </c>
      <c r="H40" s="350">
        <f t="shared" si="27"/>
        <v>0.05</v>
      </c>
      <c r="I40" s="134"/>
      <c r="J40" s="7"/>
      <c r="M40" s="83">
        <v>16</v>
      </c>
      <c r="N40" s="94">
        <f t="shared" si="28"/>
        <v>1</v>
      </c>
      <c r="O40" s="98">
        <v>0.1</v>
      </c>
      <c r="P40" s="97">
        <v>1</v>
      </c>
      <c r="Q40" s="98">
        <v>0.15</v>
      </c>
      <c r="R40" s="347">
        <f t="shared" si="17"/>
        <v>0</v>
      </c>
      <c r="S40" s="347">
        <f t="shared" si="18"/>
        <v>1.2751399143162034E-2</v>
      </c>
      <c r="T40" s="316">
        <f t="shared" si="19"/>
        <v>0.45023143881024785</v>
      </c>
      <c r="U40" s="316">
        <f t="shared" si="20"/>
        <v>0.73736513307961304</v>
      </c>
      <c r="V40" s="134">
        <f t="shared" si="21"/>
        <v>0.245057</v>
      </c>
      <c r="W40" s="134">
        <f>O40*$C40*$C$22</f>
        <v>2.4505700000000002E-2</v>
      </c>
      <c r="X40" s="83">
        <v>16</v>
      </c>
      <c r="Y40" s="125">
        <f t="shared" si="13"/>
        <v>6.1264250000000004E-3</v>
      </c>
      <c r="Z40" s="126">
        <f t="shared" si="14"/>
        <v>6.1264250000000011E-4</v>
      </c>
      <c r="AA40" s="26">
        <f t="shared" si="23"/>
        <v>5.5137825000000007E-3</v>
      </c>
      <c r="AB40" s="130">
        <f t="shared" si="24"/>
        <v>2.4505700000000002E-2</v>
      </c>
      <c r="AC40" s="26"/>
      <c r="AD40" s="5">
        <f>245*4</f>
        <v>980</v>
      </c>
      <c r="AE40" s="9">
        <f>31*4</f>
        <v>124</v>
      </c>
      <c r="AF40" s="9">
        <f>AD40+AE40</f>
        <v>1104</v>
      </c>
      <c r="AG40" s="9"/>
      <c r="AH40" s="43"/>
      <c r="AI40" s="44"/>
      <c r="AJ40" s="44"/>
      <c r="AK40" s="45"/>
      <c r="AL40" s="43"/>
      <c r="AM40" s="46"/>
      <c r="AN40" s="46"/>
      <c r="AO40" s="44"/>
      <c r="AP40" s="44"/>
      <c r="AQ40" s="45"/>
    </row>
    <row r="41" spans="1:43" ht="25" thickBot="1" x14ac:dyDescent="0.35">
      <c r="B41" s="47"/>
      <c r="C41" s="48"/>
      <c r="D41" s="2"/>
      <c r="F41" s="24"/>
      <c r="I41" s="9"/>
      <c r="N41" s="96">
        <f>SUMPRODUCT(N25:N40,$C25:$C40)</f>
        <v>1.0000099999999998</v>
      </c>
      <c r="O41" s="96">
        <f>SUMPRODUCT(O25:O40,$C25:$C40)</f>
        <v>0.41610900000000001</v>
      </c>
      <c r="P41" s="96">
        <f>SUMPRODUCT(P25:P40,$C25:$C40)</f>
        <v>1.0000099999999998</v>
      </c>
      <c r="Q41" s="96">
        <f>SUMPRODUCT(Q25:Q40,$C25:$C40)</f>
        <v>0.54293650000000004</v>
      </c>
      <c r="V41" s="134">
        <f>SUM(V25:V40)</f>
        <v>13.900139000000003</v>
      </c>
      <c r="W41" s="134">
        <f>SUM(W25:W40)</f>
        <v>5.7839151000000006</v>
      </c>
      <c r="Y41" s="125">
        <f t="shared" si="13"/>
        <v>1.4459787750000002</v>
      </c>
      <c r="Z41" s="124"/>
      <c r="AK41" s="5"/>
      <c r="AM41" s="9"/>
    </row>
    <row r="42" spans="1:43" x14ac:dyDescent="0.2">
      <c r="C42" s="9">
        <f>C22*SUM(C25:C41)</f>
        <v>13.900138999999998</v>
      </c>
      <c r="D42" s="22">
        <f>C42*(1+D40)^(2050-2018)</f>
        <v>16.967104365121852</v>
      </c>
      <c r="E42" s="49"/>
      <c r="F42" s="9"/>
      <c r="G42" s="9" t="s">
        <v>27</v>
      </c>
      <c r="H42" s="9"/>
      <c r="I42" s="9">
        <f>SUM(I25:I40)</f>
        <v>1636685.0900000003</v>
      </c>
      <c r="J42" s="9">
        <f>SUM(J25:J40)</f>
        <v>327.17700000000002</v>
      </c>
      <c r="K42" s="9"/>
      <c r="L42" s="9"/>
      <c r="M42" s="9"/>
      <c r="N42" s="9"/>
      <c r="O42" s="9"/>
      <c r="P42" s="7"/>
      <c r="S42">
        <f>CORREL(O25:O40,S3:S18)</f>
        <v>0.76361337678483421</v>
      </c>
      <c r="V42" s="9">
        <f>V41/13.9</f>
        <v>1.0000100000000003</v>
      </c>
      <c r="W42" s="132">
        <f>W41/13.9</f>
        <v>0.41610900000000006</v>
      </c>
      <c r="Y42" s="129">
        <f>SUM(Y25:Y41)</f>
        <v>2.8919575500000003</v>
      </c>
      <c r="Z42" s="127"/>
      <c r="AA42" s="5"/>
      <c r="AB42" s="9"/>
      <c r="AC42" s="9"/>
      <c r="AD42" s="9"/>
      <c r="AE42" s="9"/>
      <c r="AF42" s="9"/>
      <c r="AG42" s="9"/>
      <c r="AH42" s="9"/>
    </row>
    <row r="43" spans="1:43" ht="21" x14ac:dyDescent="0.25">
      <c r="A43" s="50" t="s">
        <v>28</v>
      </c>
      <c r="B43" s="50"/>
      <c r="C43" s="51"/>
      <c r="E43" s="52"/>
      <c r="F43" s="9"/>
      <c r="G43" t="s">
        <v>29</v>
      </c>
      <c r="H43" s="9"/>
      <c r="I43" s="9"/>
      <c r="J43" s="9"/>
      <c r="K43" s="9"/>
      <c r="L43" s="9"/>
      <c r="M43" s="9"/>
      <c r="N43" s="9">
        <v>2018</v>
      </c>
      <c r="O43" s="9">
        <v>0.5</v>
      </c>
      <c r="P43" s="9"/>
      <c r="Q43">
        <f>13.9*0.5+ 3*0.8</f>
        <v>9.3500000000000014</v>
      </c>
      <c r="W43" s="9">
        <f>SUM(W25:W42)</f>
        <v>11.983939200000002</v>
      </c>
      <c r="Y43" s="9"/>
      <c r="Z43" s="5"/>
      <c r="AC43" s="9"/>
      <c r="AD43" s="53"/>
      <c r="AE43" s="54"/>
      <c r="AF43" s="55"/>
      <c r="AG43" s="9"/>
      <c r="AK43" s="9"/>
    </row>
    <row r="44" spans="1:43" x14ac:dyDescent="0.2">
      <c r="A44" s="56" t="s">
        <v>30</v>
      </c>
      <c r="G44" t="s">
        <v>31</v>
      </c>
      <c r="H44" s="9"/>
      <c r="N44">
        <v>2050</v>
      </c>
      <c r="O44" s="9">
        <f>O43*2</f>
        <v>1</v>
      </c>
      <c r="Q44">
        <f>Q43/(13.9+3)</f>
        <v>0.55325443786982265</v>
      </c>
      <c r="W44" s="9">
        <f>W43/0.005</f>
        <v>2396.7878400000004</v>
      </c>
      <c r="Y44" s="9">
        <f>Y42*4</f>
        <v>11.567830200000001</v>
      </c>
      <c r="Z44" s="9">
        <f>19300/Y44</f>
        <v>1668.420063773066</v>
      </c>
      <c r="AD44" s="17"/>
      <c r="AE44" s="9">
        <v>172.95</v>
      </c>
      <c r="AF44" s="9">
        <v>86</v>
      </c>
      <c r="AG44" s="9">
        <f>4*AE44+AF44*4</f>
        <v>1035.8</v>
      </c>
    </row>
    <row r="45" spans="1:43" x14ac:dyDescent="0.2">
      <c r="E45" s="49"/>
      <c r="F45" s="49"/>
      <c r="G45" s="8" t="s">
        <v>32</v>
      </c>
      <c r="H45" s="8"/>
      <c r="I45" s="8"/>
      <c r="J45" s="8"/>
      <c r="N45" s="49"/>
      <c r="O45" s="49">
        <f>(O44/O43)^(1/(N44-N43+1))-1</f>
        <v>2.1226606315364105E-2</v>
      </c>
      <c r="AD45" s="17"/>
      <c r="AE45" s="18">
        <v>345</v>
      </c>
      <c r="AF45" s="19">
        <v>173</v>
      </c>
      <c r="AG45" s="9">
        <f>4*AE45+AF45*4</f>
        <v>2072</v>
      </c>
      <c r="AK45" s="9"/>
      <c r="AN45" s="9"/>
    </row>
    <row r="46" spans="1:43" x14ac:dyDescent="0.2">
      <c r="E46" s="57"/>
      <c r="F46" s="58">
        <f>50-18</f>
        <v>32</v>
      </c>
      <c r="G46" s="8" t="s">
        <v>33</v>
      </c>
      <c r="H46" s="8"/>
      <c r="I46" s="8"/>
      <c r="J46" s="8"/>
      <c r="N46" s="58"/>
      <c r="O46" s="58"/>
      <c r="AD46" s="17"/>
      <c r="AE46" s="18">
        <v>345</v>
      </c>
      <c r="AF46" s="19">
        <v>173</v>
      </c>
      <c r="AG46" s="9">
        <f>4*AE46+AF46*4</f>
        <v>2072</v>
      </c>
      <c r="AN46" s="9"/>
    </row>
    <row r="47" spans="1:43" x14ac:dyDescent="0.2">
      <c r="D47" s="58"/>
      <c r="E47" s="59"/>
      <c r="G47" s="8" t="s">
        <v>34</v>
      </c>
      <c r="H47" s="8"/>
      <c r="I47" s="8"/>
      <c r="J47" s="8"/>
      <c r="AD47" s="17"/>
      <c r="AE47" s="18">
        <v>345</v>
      </c>
      <c r="AF47" s="19">
        <v>173</v>
      </c>
      <c r="AG47" s="9">
        <f>4*AE47+AF47*4</f>
        <v>2072</v>
      </c>
    </row>
    <row r="48" spans="1:43" x14ac:dyDescent="0.2">
      <c r="AD48" s="43"/>
      <c r="AE48" s="60">
        <v>518</v>
      </c>
      <c r="AF48" s="61">
        <v>259</v>
      </c>
      <c r="AG48" s="9">
        <f>4*AE48+AF48*4</f>
        <v>3108</v>
      </c>
      <c r="AH48" s="9"/>
    </row>
    <row r="50" spans="30:34" x14ac:dyDescent="0.2">
      <c r="AD50" s="10"/>
      <c r="AE50" s="11"/>
      <c r="AF50" s="13"/>
    </row>
    <row r="51" spans="30:34" x14ac:dyDescent="0.2">
      <c r="AD51" s="17"/>
      <c r="AE51" s="18"/>
      <c r="AF51" s="19"/>
    </row>
    <row r="52" spans="30:34" x14ac:dyDescent="0.2">
      <c r="AD52" s="17"/>
      <c r="AE52" s="18"/>
      <c r="AF52" s="19"/>
    </row>
    <row r="53" spans="30:34" x14ac:dyDescent="0.2">
      <c r="AD53" s="17"/>
      <c r="AE53" s="18"/>
      <c r="AF53" s="19"/>
    </row>
    <row r="54" spans="30:34" x14ac:dyDescent="0.2">
      <c r="AD54" s="17"/>
      <c r="AE54" s="18"/>
      <c r="AF54" s="19"/>
    </row>
    <row r="55" spans="30:34" x14ac:dyDescent="0.2">
      <c r="AD55" s="43"/>
      <c r="AE55" s="62"/>
      <c r="AF55" s="63"/>
      <c r="AG55" s="9"/>
      <c r="AH55" s="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topLeftCell="D13" workbookViewId="0">
      <selection activeCell="H24" sqref="H24"/>
    </sheetView>
  </sheetViews>
  <sheetFormatPr baseColWidth="10" defaultColWidth="8.83203125" defaultRowHeight="16" x14ac:dyDescent="0.2"/>
  <cols>
    <col min="1" max="1" width="14" customWidth="1"/>
    <col min="2" max="2" width="21.83203125" customWidth="1"/>
    <col min="3" max="3" width="17.33203125" customWidth="1"/>
    <col min="4" max="4" width="12.6640625" customWidth="1"/>
    <col min="5" max="5" width="20.5" customWidth="1"/>
    <col min="6" max="7" width="11.33203125" bestFit="1" customWidth="1"/>
    <col min="8" max="8" width="12" customWidth="1"/>
    <col min="9" max="9" width="14.1640625" customWidth="1"/>
    <col min="10" max="10" width="11.5" customWidth="1"/>
    <col min="11" max="11" width="10.33203125" customWidth="1"/>
    <col min="12" max="12" width="12.5" customWidth="1"/>
    <col min="13" max="13" width="10" customWidth="1"/>
    <col min="15" max="15" width="9.1640625" customWidth="1"/>
    <col min="16" max="16" width="11.6640625" customWidth="1"/>
  </cols>
  <sheetData>
    <row r="1" spans="1:20" x14ac:dyDescent="0.2">
      <c r="B1" t="s">
        <v>375</v>
      </c>
      <c r="D1" s="177" t="s">
        <v>376</v>
      </c>
      <c r="O1">
        <v>1</v>
      </c>
      <c r="P1" t="s">
        <v>333</v>
      </c>
      <c r="Q1">
        <v>3.4119999999999999</v>
      </c>
      <c r="R1" t="s">
        <v>377</v>
      </c>
    </row>
    <row r="2" spans="1:20" x14ac:dyDescent="0.2">
      <c r="B2" t="s">
        <v>378</v>
      </c>
      <c r="D2" t="s">
        <v>379</v>
      </c>
      <c r="F2" s="1" t="s">
        <v>380</v>
      </c>
      <c r="G2" s="1"/>
      <c r="H2" s="1"/>
      <c r="O2">
        <v>1</v>
      </c>
      <c r="P2" t="s">
        <v>381</v>
      </c>
      <c r="Q2">
        <v>100</v>
      </c>
      <c r="R2" t="s">
        <v>377</v>
      </c>
    </row>
    <row r="3" spans="1:20" x14ac:dyDescent="0.2">
      <c r="P3" t="s">
        <v>382</v>
      </c>
      <c r="Q3">
        <f>Q2/Q1</f>
        <v>29.308323563892145</v>
      </c>
      <c r="R3" t="s">
        <v>333</v>
      </c>
    </row>
    <row r="5" spans="1:20" x14ac:dyDescent="0.2">
      <c r="B5" s="178"/>
      <c r="D5" s="1" t="s">
        <v>383</v>
      </c>
      <c r="Q5" s="179"/>
      <c r="R5" s="179"/>
    </row>
    <row r="6" spans="1:20" ht="45" x14ac:dyDescent="0.2">
      <c r="B6" s="1" t="s">
        <v>384</v>
      </c>
      <c r="C6" s="1"/>
      <c r="D6" s="180" t="s">
        <v>46</v>
      </c>
      <c r="E6" s="181" t="s">
        <v>361</v>
      </c>
      <c r="F6" s="181" t="s">
        <v>385</v>
      </c>
      <c r="G6" s="181" t="s">
        <v>386</v>
      </c>
      <c r="H6" s="181" t="s">
        <v>387</v>
      </c>
      <c r="I6" s="181" t="s">
        <v>388</v>
      </c>
      <c r="J6" s="181" t="s">
        <v>389</v>
      </c>
      <c r="K6" s="181" t="s">
        <v>390</v>
      </c>
      <c r="L6" s="181" t="s">
        <v>391</v>
      </c>
      <c r="M6" s="181" t="s">
        <v>392</v>
      </c>
      <c r="P6" s="64"/>
      <c r="Q6" s="64"/>
      <c r="R6" s="64"/>
      <c r="S6" s="64"/>
      <c r="T6" s="64"/>
    </row>
    <row r="7" spans="1:20" x14ac:dyDescent="0.2">
      <c r="B7" s="1"/>
      <c r="C7" s="1"/>
      <c r="D7" s="182"/>
      <c r="E7" s="1"/>
      <c r="F7" s="1"/>
      <c r="G7" s="1"/>
      <c r="H7" s="1"/>
      <c r="I7" s="1"/>
      <c r="J7" s="1"/>
      <c r="K7" s="1"/>
      <c r="L7" s="1"/>
    </row>
    <row r="8" spans="1:20" x14ac:dyDescent="0.2">
      <c r="B8" t="s">
        <v>393</v>
      </c>
      <c r="D8" s="183">
        <v>8.0666259999999994</v>
      </c>
      <c r="E8" s="155">
        <v>0.975132</v>
      </c>
      <c r="F8" s="155">
        <v>1.1212869999999999</v>
      </c>
      <c r="G8" s="155">
        <v>3.1912569999999998</v>
      </c>
      <c r="H8" s="155">
        <v>0.56040699999999999</v>
      </c>
      <c r="I8" s="184">
        <f>SUM(D8:H8)</f>
        <v>13.914709</v>
      </c>
      <c r="J8" s="185">
        <v>7.8E-2</v>
      </c>
      <c r="K8" s="184">
        <v>2.95</v>
      </c>
      <c r="L8" s="184">
        <v>38.714725000000001</v>
      </c>
      <c r="M8" s="1">
        <f>I8*(1-J8)</f>
        <v>12.829361698000001</v>
      </c>
    </row>
    <row r="9" spans="1:20" x14ac:dyDescent="0.2">
      <c r="B9" t="s">
        <v>394</v>
      </c>
      <c r="D9" s="237">
        <f>D8/$I$8</f>
        <v>0.57971934590942575</v>
      </c>
      <c r="E9" s="237">
        <f>E8/$I$8</f>
        <v>7.0079223359971091E-2</v>
      </c>
      <c r="F9" s="237">
        <f>F8/$I$8</f>
        <v>8.05828566016005E-2</v>
      </c>
      <c r="G9" s="237">
        <f>G8/$I$8</f>
        <v>0.22934414223107358</v>
      </c>
      <c r="H9" s="237">
        <f>H8/$I$8</f>
        <v>4.0274431897929015E-2</v>
      </c>
    </row>
    <row r="10" spans="1:20" x14ac:dyDescent="0.2">
      <c r="D10" s="124"/>
    </row>
    <row r="11" spans="1:20" x14ac:dyDescent="0.2">
      <c r="D11" s="124"/>
    </row>
    <row r="12" spans="1:20" ht="64" x14ac:dyDescent="0.2">
      <c r="D12" s="186" t="s">
        <v>46</v>
      </c>
      <c r="E12" s="187" t="s">
        <v>361</v>
      </c>
      <c r="F12" s="187" t="s">
        <v>385</v>
      </c>
      <c r="G12" s="187" t="s">
        <v>386</v>
      </c>
      <c r="H12" s="187" t="s">
        <v>387</v>
      </c>
      <c r="I12" s="187" t="s">
        <v>395</v>
      </c>
      <c r="J12" s="188" t="s">
        <v>396</v>
      </c>
      <c r="K12" s="188" t="s">
        <v>397</v>
      </c>
      <c r="L12" s="189" t="s">
        <v>398</v>
      </c>
    </row>
    <row r="13" spans="1:20" x14ac:dyDescent="0.2">
      <c r="D13" s="190"/>
      <c r="E13" s="18"/>
      <c r="F13" s="18"/>
      <c r="G13" s="18"/>
      <c r="H13" s="18"/>
      <c r="I13" s="18"/>
      <c r="J13" s="18"/>
      <c r="K13" s="18"/>
      <c r="L13" s="19"/>
    </row>
    <row r="14" spans="1:20" x14ac:dyDescent="0.2">
      <c r="A14" s="69" t="s">
        <v>399</v>
      </c>
      <c r="B14" s="11" t="s">
        <v>400</v>
      </c>
      <c r="C14" s="17" t="s">
        <v>401</v>
      </c>
      <c r="D14" s="191">
        <v>7105</v>
      </c>
      <c r="E14" s="28">
        <v>4469</v>
      </c>
      <c r="F14" s="28">
        <v>3877</v>
      </c>
      <c r="G14" s="28">
        <v>3807</v>
      </c>
      <c r="H14" s="28">
        <v>5662</v>
      </c>
      <c r="I14" s="28">
        <f>SUMPRODUCT(D8:H8,D14:H14)</f>
        <v>81340.612170000008</v>
      </c>
      <c r="J14" s="192">
        <f>I14*Q1</f>
        <v>277534.16872404004</v>
      </c>
      <c r="K14" s="193">
        <f>SUMPRODUCT(D8:H8,D14:H14)/SUM(D8:H8)</f>
        <v>5845.6567198063576</v>
      </c>
      <c r="L14" s="194">
        <f>K14*Q1/1000</f>
        <v>19.945380727979291</v>
      </c>
    </row>
    <row r="15" spans="1:20" x14ac:dyDescent="0.2">
      <c r="B15" s="18" t="s">
        <v>402</v>
      </c>
      <c r="C15" s="19"/>
      <c r="D15" s="191">
        <f>D14*D$8</f>
        <v>57313.377729999993</v>
      </c>
      <c r="E15" s="28">
        <f>E14*E$8</f>
        <v>4357.8649079999996</v>
      </c>
      <c r="F15" s="28">
        <f>F14*F$8</f>
        <v>4347.2296989999995</v>
      </c>
      <c r="G15" s="28">
        <f>G14*G$8</f>
        <v>12149.115398999998</v>
      </c>
      <c r="H15" s="28">
        <f>H14*H$8</f>
        <v>3173.0244339999999</v>
      </c>
      <c r="I15" s="18"/>
      <c r="J15" s="195"/>
      <c r="K15" s="195"/>
      <c r="L15" s="196"/>
    </row>
    <row r="16" spans="1:20" x14ac:dyDescent="0.2">
      <c r="A16" s="17"/>
      <c r="B16" s="18"/>
      <c r="C16" s="19"/>
      <c r="D16" s="197">
        <f>D15/$I$14</f>
        <v>0.70460961875005745</v>
      </c>
      <c r="E16" s="198">
        <f>E15/$I$14</f>
        <v>5.3575511564778515E-2</v>
      </c>
      <c r="F16" s="198">
        <f>F15/$I$14</f>
        <v>5.3444762499627978E-2</v>
      </c>
      <c r="G16" s="198">
        <f>G15/$I$14</f>
        <v>0.14936100276217035</v>
      </c>
      <c r="H16" s="198">
        <f>H15/$I$14</f>
        <v>3.9009104423365436E-2</v>
      </c>
      <c r="I16" s="18"/>
      <c r="J16" s="195"/>
      <c r="K16" s="195"/>
      <c r="L16" s="196"/>
    </row>
    <row r="17" spans="1:29" x14ac:dyDescent="0.2">
      <c r="A17" s="17"/>
      <c r="B17" s="18"/>
      <c r="C17" s="19"/>
      <c r="D17" s="190"/>
      <c r="E17" s="18"/>
      <c r="F17" s="18"/>
      <c r="G17" s="18"/>
      <c r="H17" s="18"/>
      <c r="I17" s="18"/>
      <c r="J17" s="195"/>
      <c r="K17" s="195"/>
      <c r="L17" s="196"/>
    </row>
    <row r="18" spans="1:29" x14ac:dyDescent="0.2">
      <c r="A18" s="199" t="s">
        <v>403</v>
      </c>
      <c r="B18" s="18" t="s">
        <v>404</v>
      </c>
      <c r="C18" s="17" t="s">
        <v>405</v>
      </c>
      <c r="D18" s="190">
        <v>508</v>
      </c>
      <c r="E18" s="18">
        <v>326</v>
      </c>
      <c r="F18" s="18">
        <v>284</v>
      </c>
      <c r="G18" s="18">
        <v>232</v>
      </c>
      <c r="H18" s="18">
        <v>433</v>
      </c>
      <c r="I18" s="28">
        <f>SUMPRODUCT(D$8:H$8,D18:H18)</f>
        <v>5717.2124029999995</v>
      </c>
      <c r="J18" s="200">
        <f>I18*Q2</f>
        <v>571721.24029999995</v>
      </c>
      <c r="K18" s="201">
        <f>I18/I8</f>
        <v>410.87545582160573</v>
      </c>
      <c r="L18" s="194">
        <f>K18*Q2/1000</f>
        <v>41.087545582160573</v>
      </c>
    </row>
    <row r="19" spans="1:29" x14ac:dyDescent="0.2">
      <c r="B19" s="18" t="s">
        <v>406</v>
      </c>
      <c r="C19" s="19"/>
      <c r="D19" s="191">
        <f>D18*D$8</f>
        <v>4097.8460079999995</v>
      </c>
      <c r="E19" s="28">
        <f>E18*E$8</f>
        <v>317.89303200000001</v>
      </c>
      <c r="F19" s="28">
        <f>F18*F$8</f>
        <v>318.44550799999996</v>
      </c>
      <c r="G19" s="28">
        <f>G18*G$8</f>
        <v>740.371624</v>
      </c>
      <c r="H19" s="28">
        <f>H18*H$8</f>
        <v>242.65623099999999</v>
      </c>
      <c r="I19" s="18"/>
      <c r="J19" s="18"/>
      <c r="K19" s="18"/>
      <c r="L19" s="19"/>
    </row>
    <row r="20" spans="1:29" x14ac:dyDescent="0.2">
      <c r="A20" s="17"/>
      <c r="B20" s="18"/>
      <c r="C20" s="19"/>
      <c r="D20" s="202">
        <f>D19/$I$18</f>
        <v>0.71675595012872573</v>
      </c>
      <c r="E20" s="203">
        <f>E19/$I$18</f>
        <v>5.5602802483460577E-2</v>
      </c>
      <c r="F20" s="203">
        <f>F19/$I$18</f>
        <v>5.5699436290472901E-2</v>
      </c>
      <c r="G20" s="203">
        <f>G19/$I$18</f>
        <v>0.12949870877833819</v>
      </c>
      <c r="H20" s="203">
        <f>H19/$I$18</f>
        <v>4.2443102319002647E-2</v>
      </c>
      <c r="I20" s="18"/>
      <c r="J20" s="18"/>
      <c r="K20" s="18"/>
      <c r="L20" s="19"/>
    </row>
    <row r="21" spans="1:29" x14ac:dyDescent="0.2">
      <c r="A21" s="17"/>
      <c r="B21" s="18"/>
      <c r="C21" s="19"/>
      <c r="D21" s="17"/>
      <c r="E21" s="18"/>
      <c r="F21" s="18"/>
      <c r="G21" s="18"/>
      <c r="H21" s="18"/>
      <c r="I21" s="18"/>
      <c r="J21" s="18"/>
      <c r="K21" s="18"/>
      <c r="L21" s="19"/>
    </row>
    <row r="22" spans="1:29" x14ac:dyDescent="0.2">
      <c r="A22" s="204" t="s">
        <v>407</v>
      </c>
      <c r="B22" s="44"/>
      <c r="C22" s="45"/>
      <c r="D22" s="337">
        <f t="shared" ref="D22:I22" si="0">D14*$Q$1+D18*$Q$2</f>
        <v>75042.259999999995</v>
      </c>
      <c r="E22" s="205">
        <f t="shared" si="0"/>
        <v>47848.228000000003</v>
      </c>
      <c r="F22" s="205">
        <f t="shared" si="0"/>
        <v>41628.324000000001</v>
      </c>
      <c r="G22" s="205">
        <f t="shared" si="0"/>
        <v>36189.483999999997</v>
      </c>
      <c r="H22" s="205">
        <f t="shared" si="0"/>
        <v>62618.743999999999</v>
      </c>
      <c r="I22" s="205">
        <f t="shared" si="0"/>
        <v>849255.40902403998</v>
      </c>
      <c r="J22" s="205">
        <f>SUMPRODUCT(D$8:H$8,D22:H22)</f>
        <v>849255.40902403975</v>
      </c>
      <c r="K22" s="206">
        <f>(K14*$Q$1+K18*$Q$2)/1000</f>
        <v>61.032926310139871</v>
      </c>
      <c r="L22" s="45"/>
    </row>
    <row r="23" spans="1:29" x14ac:dyDescent="0.2">
      <c r="D23" s="5">
        <f>D22*D8</f>
        <v>605337.84561475995</v>
      </c>
      <c r="E23" s="5">
        <f>E22*E8</f>
        <v>46658.338266096005</v>
      </c>
      <c r="F23" s="5">
        <f>F22*F8</f>
        <v>46677.298532987996</v>
      </c>
      <c r="G23" s="5">
        <f>G22*G8</f>
        <v>115489.94414138798</v>
      </c>
      <c r="H23" s="5">
        <f>H22*H8</f>
        <v>35091.982468807997</v>
      </c>
      <c r="J23" s="9"/>
    </row>
    <row r="24" spans="1:29" x14ac:dyDescent="0.2">
      <c r="A24" t="s">
        <v>408</v>
      </c>
      <c r="D24" s="133">
        <f>D23/$I22</f>
        <v>0.71278656477491398</v>
      </c>
      <c r="E24" s="133">
        <f>E23/$I22</f>
        <v>5.4940289776565017E-2</v>
      </c>
      <c r="F24" s="133">
        <f>F23/$I22</f>
        <v>5.4962615530031553E-2</v>
      </c>
      <c r="G24" s="133">
        <f>G23/$I22</f>
        <v>0.13598964800719779</v>
      </c>
      <c r="H24" s="133">
        <f>H23/$I22</f>
        <v>4.1320881911291595E-2</v>
      </c>
    </row>
    <row r="25" spans="1:29" x14ac:dyDescent="0.2">
      <c r="A25" t="s">
        <v>409</v>
      </c>
    </row>
    <row r="26" spans="1:29" x14ac:dyDescent="0.2">
      <c r="A26" t="s">
        <v>410</v>
      </c>
    </row>
    <row r="27" spans="1:29" ht="17" thickBot="1" x14ac:dyDescent="0.25"/>
    <row r="28" spans="1:29" x14ac:dyDescent="0.2">
      <c r="A28" s="195"/>
      <c r="B28" s="207" t="s">
        <v>411</v>
      </c>
      <c r="C28" s="208"/>
      <c r="D28" s="208"/>
      <c r="E28" s="209">
        <f>I18</f>
        <v>5717.2124029999995</v>
      </c>
    </row>
    <row r="29" spans="1:29" ht="17" thickBot="1" x14ac:dyDescent="0.25">
      <c r="A29" s="195"/>
      <c r="B29" s="210" t="s">
        <v>412</v>
      </c>
      <c r="C29" s="211"/>
      <c r="D29" s="211"/>
      <c r="E29" s="212">
        <f>E28*29.3001</f>
        <v>167514.89512914029</v>
      </c>
    </row>
    <row r="30" spans="1:29" x14ac:dyDescent="0.2">
      <c r="A30" s="195"/>
      <c r="B30" s="210"/>
      <c r="C30" s="211"/>
      <c r="D30" s="211"/>
      <c r="E30" s="213"/>
      <c r="J30" s="214" t="s">
        <v>403</v>
      </c>
      <c r="K30" s="215" t="s">
        <v>413</v>
      </c>
      <c r="L30" s="215"/>
      <c r="M30" s="216"/>
      <c r="N30" s="217"/>
      <c r="O30" s="11"/>
      <c r="P30" s="11" t="s">
        <v>223</v>
      </c>
      <c r="Q30" s="11"/>
      <c r="R30" s="13"/>
      <c r="U30" s="69" t="s">
        <v>26</v>
      </c>
      <c r="V30" s="11"/>
      <c r="W30" s="11"/>
      <c r="X30" s="11"/>
      <c r="Y30" s="11"/>
      <c r="Z30" s="11"/>
      <c r="AA30" s="11"/>
      <c r="AB30" s="11"/>
      <c r="AC30" s="13"/>
    </row>
    <row r="31" spans="1:29" x14ac:dyDescent="0.2">
      <c r="A31" s="195"/>
      <c r="B31" s="210" t="s">
        <v>414</v>
      </c>
      <c r="C31" s="211"/>
      <c r="D31" s="211"/>
      <c r="E31" s="213">
        <v>2.5</v>
      </c>
      <c r="J31" s="218"/>
      <c r="K31" s="18"/>
      <c r="L31" s="18" t="s">
        <v>415</v>
      </c>
      <c r="M31" s="19"/>
      <c r="N31" s="219"/>
      <c r="O31" s="18" t="s">
        <v>416</v>
      </c>
      <c r="P31" s="18" t="s">
        <v>417</v>
      </c>
      <c r="Q31" s="101">
        <v>0.21</v>
      </c>
      <c r="R31" s="19"/>
      <c r="U31" s="17" t="s">
        <v>418</v>
      </c>
      <c r="V31" s="18"/>
      <c r="W31" s="18" t="s">
        <v>419</v>
      </c>
      <c r="X31" s="18"/>
      <c r="Y31" s="18"/>
      <c r="Z31" s="18" t="s">
        <v>420</v>
      </c>
      <c r="AA31" s="18"/>
      <c r="AB31" s="18"/>
      <c r="AC31" s="19"/>
    </row>
    <row r="32" spans="1:29" x14ac:dyDescent="0.2">
      <c r="A32" s="195"/>
      <c r="B32" s="210"/>
      <c r="C32" s="211"/>
      <c r="D32" s="211"/>
      <c r="E32" s="213"/>
      <c r="J32" s="218"/>
      <c r="K32" s="18" t="s">
        <v>363</v>
      </c>
      <c r="L32" s="18" t="s">
        <v>421</v>
      </c>
      <c r="M32" s="19"/>
      <c r="N32" s="219" t="s">
        <v>422</v>
      </c>
      <c r="O32" s="18"/>
      <c r="P32" s="18" t="s">
        <v>423</v>
      </c>
      <c r="Q32" s="101">
        <v>0.2</v>
      </c>
      <c r="R32" s="19"/>
      <c r="U32" s="17"/>
      <c r="V32" s="18" t="s">
        <v>363</v>
      </c>
      <c r="W32" s="18" t="s">
        <v>424</v>
      </c>
      <c r="X32" s="18"/>
      <c r="Y32" s="18"/>
      <c r="Z32" s="18" t="s">
        <v>425</v>
      </c>
      <c r="AA32" s="18" t="s">
        <v>426</v>
      </c>
      <c r="AB32" s="18" t="s">
        <v>427</v>
      </c>
      <c r="AC32" s="19" t="s">
        <v>428</v>
      </c>
    </row>
    <row r="33" spans="1:34" x14ac:dyDescent="0.2">
      <c r="A33" s="195"/>
      <c r="B33" s="210" t="s">
        <v>429</v>
      </c>
      <c r="C33" s="211"/>
      <c r="D33" s="211"/>
      <c r="E33" s="212">
        <f>E29/E31</f>
        <v>67005.958051656111</v>
      </c>
      <c r="J33" s="218" t="s">
        <v>430</v>
      </c>
      <c r="K33" s="195">
        <v>243</v>
      </c>
      <c r="L33" s="18">
        <v>0.98</v>
      </c>
      <c r="M33" s="19">
        <v>0.87</v>
      </c>
      <c r="N33" s="220">
        <f>K33*M33</f>
        <v>211.41</v>
      </c>
      <c r="O33" s="418">
        <f>N33/N$40</f>
        <v>0.46764881544893483</v>
      </c>
      <c r="P33" s="18" t="s">
        <v>431</v>
      </c>
      <c r="Q33" s="101">
        <v>0.2</v>
      </c>
      <c r="R33" s="19"/>
      <c r="U33" s="17" t="s">
        <v>432</v>
      </c>
      <c r="V33" s="18">
        <v>2147</v>
      </c>
      <c r="W33" s="18">
        <v>1</v>
      </c>
      <c r="X33" s="18"/>
      <c r="Y33" s="198">
        <f t="shared" ref="Y33:Y40" si="1">(Z33-AB33)/AB33</f>
        <v>-7.0921985815602835E-3</v>
      </c>
      <c r="Z33" s="18">
        <v>1820</v>
      </c>
      <c r="AA33" s="18"/>
      <c r="AB33" s="18">
        <v>1833</v>
      </c>
      <c r="AC33" s="19"/>
      <c r="AE33" s="198">
        <f t="shared" ref="AE33:AE43" si="2">V33/SUM($V$33:$V$45)</f>
        <v>0.14587579834216605</v>
      </c>
      <c r="AG33">
        <f t="shared" ref="AG33:AG39" si="3">V33</f>
        <v>2147</v>
      </c>
    </row>
    <row r="34" spans="1:34" ht="17" thickBot="1" x14ac:dyDescent="0.25">
      <c r="A34" s="195"/>
      <c r="B34" s="221" t="s">
        <v>329</v>
      </c>
      <c r="C34" s="222"/>
      <c r="D34" s="222"/>
      <c r="E34" s="223"/>
      <c r="J34" s="218" t="s">
        <v>433</v>
      </c>
      <c r="K34" s="195">
        <v>206</v>
      </c>
      <c r="L34" s="18">
        <v>0.99</v>
      </c>
      <c r="M34" s="19">
        <v>0.89</v>
      </c>
      <c r="N34" s="220">
        <f t="shared" ref="N34:N39" si="4">K34*M34</f>
        <v>183.34</v>
      </c>
      <c r="O34" s="418">
        <f>N34/N$40</f>
        <v>0.40555666157895898</v>
      </c>
      <c r="P34" s="18" t="s">
        <v>111</v>
      </c>
      <c r="Q34" s="101">
        <v>7.0000000000000007E-2</v>
      </c>
      <c r="R34" s="19"/>
      <c r="S34">
        <f>Q34*R41</f>
        <v>440.72</v>
      </c>
      <c r="U34" s="17" t="s">
        <v>434</v>
      </c>
      <c r="V34" s="18">
        <v>824</v>
      </c>
      <c r="W34" s="18">
        <v>1</v>
      </c>
      <c r="X34" s="18"/>
      <c r="Y34" s="198">
        <f t="shared" si="1"/>
        <v>-3.5398230088495575E-2</v>
      </c>
      <c r="Z34" s="18">
        <v>763</v>
      </c>
      <c r="AA34" s="18">
        <v>1</v>
      </c>
      <c r="AB34" s="18">
        <v>791</v>
      </c>
      <c r="AC34" s="19">
        <v>1</v>
      </c>
      <c r="AE34" s="198">
        <f t="shared" si="2"/>
        <v>5.5985867645060472E-2</v>
      </c>
      <c r="AG34">
        <f t="shared" si="3"/>
        <v>824</v>
      </c>
    </row>
    <row r="35" spans="1:34" x14ac:dyDescent="0.2">
      <c r="A35" s="195"/>
      <c r="B35" s="195"/>
      <c r="C35" s="195"/>
      <c r="D35" s="195"/>
      <c r="E35" s="195"/>
      <c r="J35" s="218" t="s">
        <v>435</v>
      </c>
      <c r="K35" s="195">
        <v>31</v>
      </c>
      <c r="L35" s="18">
        <v>0.55000000000000004</v>
      </c>
      <c r="M35" s="19">
        <v>0.5</v>
      </c>
      <c r="N35" s="220">
        <f t="shared" si="4"/>
        <v>15.5</v>
      </c>
      <c r="O35" s="418">
        <f t="shared" ref="O35:O39" si="5">N35/N$40</f>
        <v>3.4286725507111725E-2</v>
      </c>
      <c r="P35" s="18" t="s">
        <v>436</v>
      </c>
      <c r="Q35" s="101">
        <v>6.5000000000000002E-2</v>
      </c>
      <c r="R35" s="19"/>
      <c r="U35" s="17" t="s">
        <v>437</v>
      </c>
      <c r="V35" s="18">
        <v>140</v>
      </c>
      <c r="W35" s="18">
        <v>0.97</v>
      </c>
      <c r="X35" s="18"/>
      <c r="Y35" s="198">
        <f t="shared" si="1"/>
        <v>3.007518796992481E-2</v>
      </c>
      <c r="Z35" s="18">
        <v>137</v>
      </c>
      <c r="AA35" s="18">
        <v>0.98</v>
      </c>
      <c r="AB35" s="18">
        <v>133</v>
      </c>
      <c r="AC35" s="19">
        <v>0.95</v>
      </c>
      <c r="AE35" s="198">
        <f t="shared" si="2"/>
        <v>9.5121619785296912E-3</v>
      </c>
      <c r="AG35">
        <f t="shared" si="3"/>
        <v>140</v>
      </c>
    </row>
    <row r="36" spans="1:34" x14ac:dyDescent="0.2">
      <c r="B36" t="s">
        <v>438</v>
      </c>
      <c r="J36" s="218" t="s">
        <v>439</v>
      </c>
      <c r="K36" s="195">
        <v>46</v>
      </c>
      <c r="L36" s="18">
        <v>0.73</v>
      </c>
      <c r="M36" s="19">
        <v>0.66</v>
      </c>
      <c r="N36" s="220">
        <f t="shared" si="4"/>
        <v>30.360000000000003</v>
      </c>
      <c r="O36" s="418">
        <f t="shared" si="5"/>
        <v>6.7157741057800785E-2</v>
      </c>
      <c r="P36" s="18" t="s">
        <v>440</v>
      </c>
      <c r="Q36" s="101">
        <v>6.5000000000000002E-2</v>
      </c>
      <c r="R36" s="19"/>
      <c r="U36" s="17" t="s">
        <v>441</v>
      </c>
      <c r="V36" s="18">
        <v>519</v>
      </c>
      <c r="W36" s="18">
        <v>0.96</v>
      </c>
      <c r="X36" s="18"/>
      <c r="Y36" s="198">
        <f t="shared" si="1"/>
        <v>0.11522633744855967</v>
      </c>
      <c r="Z36" s="224">
        <v>542</v>
      </c>
      <c r="AA36" s="224">
        <v>0.96</v>
      </c>
      <c r="AB36" s="224">
        <v>486</v>
      </c>
      <c r="AC36" s="225">
        <v>0.95</v>
      </c>
      <c r="AE36" s="198">
        <f t="shared" si="2"/>
        <v>3.5262943334692216E-2</v>
      </c>
      <c r="AG36">
        <f t="shared" si="3"/>
        <v>519</v>
      </c>
    </row>
    <row r="37" spans="1:34" x14ac:dyDescent="0.2">
      <c r="C37" t="s">
        <v>442</v>
      </c>
      <c r="J37" s="218" t="s">
        <v>443</v>
      </c>
      <c r="K37" s="195">
        <v>220</v>
      </c>
      <c r="L37" s="18">
        <v>0.04</v>
      </c>
      <c r="M37" s="19">
        <v>0.03</v>
      </c>
      <c r="N37" s="220">
        <f t="shared" si="4"/>
        <v>6.6</v>
      </c>
      <c r="O37" s="418">
        <f t="shared" si="5"/>
        <v>1.4599508925608863E-2</v>
      </c>
      <c r="P37" s="18" t="s">
        <v>444</v>
      </c>
      <c r="Q37" s="101">
        <v>3.5499999999999997E-2</v>
      </c>
      <c r="R37" s="19"/>
      <c r="U37" s="17" t="s">
        <v>445</v>
      </c>
      <c r="V37" s="18">
        <v>127</v>
      </c>
      <c r="W37" s="18">
        <v>0.95</v>
      </c>
      <c r="X37" s="18"/>
      <c r="Y37" s="198">
        <f t="shared" si="1"/>
        <v>0.22429906542056074</v>
      </c>
      <c r="Z37" s="224">
        <v>131</v>
      </c>
      <c r="AA37" s="224">
        <v>0.9</v>
      </c>
      <c r="AB37" s="224">
        <v>107</v>
      </c>
      <c r="AC37" s="225">
        <v>0.73</v>
      </c>
      <c r="AE37" s="198">
        <f t="shared" si="2"/>
        <v>8.6288897948090769E-3</v>
      </c>
      <c r="AG37">
        <f t="shared" si="3"/>
        <v>127</v>
      </c>
    </row>
    <row r="38" spans="1:34" x14ac:dyDescent="0.2">
      <c r="B38" s="179" t="s">
        <v>446</v>
      </c>
      <c r="C38" s="179"/>
      <c r="D38" s="179" t="s">
        <v>447</v>
      </c>
      <c r="J38" s="218" t="s">
        <v>448</v>
      </c>
      <c r="K38" s="195">
        <v>81</v>
      </c>
      <c r="L38" s="18">
        <v>7.0000000000000007E-2</v>
      </c>
      <c r="M38" s="19">
        <v>0.06</v>
      </c>
      <c r="N38" s="220">
        <f t="shared" si="4"/>
        <v>4.8599999999999994</v>
      </c>
      <c r="O38" s="418">
        <f t="shared" si="5"/>
        <v>1.0750547481584707E-2</v>
      </c>
      <c r="P38" s="18" t="s">
        <v>449</v>
      </c>
      <c r="Q38" s="101">
        <v>0.02</v>
      </c>
      <c r="R38" s="19"/>
      <c r="S38">
        <f>Q38*6500</f>
        <v>130</v>
      </c>
      <c r="T38" t="s">
        <v>333</v>
      </c>
      <c r="U38" s="17" t="s">
        <v>450</v>
      </c>
      <c r="V38" s="18">
        <v>578</v>
      </c>
      <c r="W38" s="18">
        <v>0.75</v>
      </c>
      <c r="X38" s="18"/>
      <c r="Y38" s="198">
        <f t="shared" si="1"/>
        <v>2.8368794326241134E-2</v>
      </c>
      <c r="Z38" s="18">
        <v>580</v>
      </c>
      <c r="AA38" s="18">
        <v>0.84</v>
      </c>
      <c r="AB38" s="18">
        <v>564</v>
      </c>
      <c r="AC38" s="19">
        <v>0.68</v>
      </c>
      <c r="AE38" s="198">
        <f t="shared" si="2"/>
        <v>3.9271640168501154E-2</v>
      </c>
      <c r="AG38">
        <f t="shared" si="3"/>
        <v>578</v>
      </c>
    </row>
    <row r="39" spans="1:34" ht="17" thickBot="1" x14ac:dyDescent="0.25">
      <c r="B39" t="s">
        <v>442</v>
      </c>
      <c r="D39" s="5">
        <v>2633</v>
      </c>
      <c r="J39" s="226" t="s">
        <v>451</v>
      </c>
      <c r="K39" s="227">
        <v>162</v>
      </c>
      <c r="L39" s="228">
        <v>0</v>
      </c>
      <c r="M39" s="229">
        <v>0</v>
      </c>
      <c r="N39" s="230">
        <f t="shared" si="4"/>
        <v>0</v>
      </c>
      <c r="O39" s="418">
        <f t="shared" si="5"/>
        <v>0</v>
      </c>
      <c r="P39" s="18" t="s">
        <v>452</v>
      </c>
      <c r="Q39" s="101">
        <v>0.03</v>
      </c>
      <c r="R39" s="19"/>
      <c r="U39" s="17" t="s">
        <v>453</v>
      </c>
      <c r="V39" s="18">
        <v>84</v>
      </c>
      <c r="W39" s="18">
        <v>0.7</v>
      </c>
      <c r="X39" s="18"/>
      <c r="Y39" s="198">
        <f t="shared" si="1"/>
        <v>0.10526315789473684</v>
      </c>
      <c r="Z39" s="18">
        <v>84</v>
      </c>
      <c r="AA39" s="18">
        <v>0.92</v>
      </c>
      <c r="AB39" s="18">
        <v>76</v>
      </c>
      <c r="AC39" s="19">
        <v>0.6</v>
      </c>
      <c r="AE39" s="198">
        <f t="shared" si="2"/>
        <v>5.7072971871178152E-3</v>
      </c>
      <c r="AG39">
        <f t="shared" si="3"/>
        <v>84</v>
      </c>
    </row>
    <row r="40" spans="1:34" x14ac:dyDescent="0.2">
      <c r="B40" t="s">
        <v>454</v>
      </c>
      <c r="D40" s="5">
        <v>2876</v>
      </c>
      <c r="E40">
        <f>D40/SUM(D39:D43)</f>
        <v>0.45564005069708491</v>
      </c>
      <c r="N40" s="220">
        <f>SUM(N33:N39)</f>
        <v>452.07000000000005</v>
      </c>
      <c r="O40" s="17"/>
      <c r="P40" s="18" t="s">
        <v>455</v>
      </c>
      <c r="Q40" s="101">
        <v>0.105</v>
      </c>
      <c r="R40" s="19"/>
      <c r="U40" s="17" t="s">
        <v>456</v>
      </c>
      <c r="V40" s="18">
        <v>162</v>
      </c>
      <c r="W40" s="18">
        <v>0.68</v>
      </c>
      <c r="X40" s="18"/>
      <c r="Y40" s="198">
        <f t="shared" si="1"/>
        <v>0.22794117647058823</v>
      </c>
      <c r="Z40" s="224">
        <v>167</v>
      </c>
      <c r="AA40" s="224">
        <v>0.82</v>
      </c>
      <c r="AB40" s="224">
        <v>136</v>
      </c>
      <c r="AC40" s="225">
        <v>0.53</v>
      </c>
      <c r="AE40" s="198">
        <f t="shared" si="2"/>
        <v>1.10069302894415E-2</v>
      </c>
      <c r="AG40">
        <f>V40</f>
        <v>162</v>
      </c>
    </row>
    <row r="41" spans="1:34" x14ac:dyDescent="0.2">
      <c r="B41" t="s">
        <v>457</v>
      </c>
      <c r="D41" s="5">
        <v>434</v>
      </c>
      <c r="J41" s="1" t="s">
        <v>458</v>
      </c>
      <c r="K41" s="13"/>
      <c r="O41" s="17" t="s">
        <v>459</v>
      </c>
      <c r="P41" s="18"/>
      <c r="Q41" s="18"/>
      <c r="R41" s="231">
        <v>6296</v>
      </c>
      <c r="S41" t="s">
        <v>333</v>
      </c>
      <c r="U41" s="17" t="s">
        <v>460</v>
      </c>
      <c r="V41" s="18">
        <v>1423</v>
      </c>
      <c r="W41" s="18">
        <v>0.46</v>
      </c>
      <c r="X41" s="18"/>
      <c r="Y41" s="198">
        <f>(Z41-AB41)/AB41</f>
        <v>0.16131687242798354</v>
      </c>
      <c r="Z41" s="224">
        <v>1411</v>
      </c>
      <c r="AA41" s="224">
        <v>0.77</v>
      </c>
      <c r="AB41" s="224">
        <v>1215</v>
      </c>
      <c r="AC41" s="225">
        <v>0.39</v>
      </c>
      <c r="AE41" s="336">
        <f t="shared" si="2"/>
        <v>9.6684332110341081E-2</v>
      </c>
      <c r="AG41">
        <f>V41*1.34</f>
        <v>1906.8200000000002</v>
      </c>
      <c r="AH41">
        <f>AG41/AG50</f>
        <v>0.12265963017235725</v>
      </c>
    </row>
    <row r="42" spans="1:34" x14ac:dyDescent="0.2">
      <c r="B42" t="s">
        <v>461</v>
      </c>
      <c r="D42" s="5">
        <v>228</v>
      </c>
      <c r="J42" s="17"/>
      <c r="K42" s="19"/>
      <c r="L42" t="s">
        <v>422</v>
      </c>
      <c r="M42" s="1" t="s">
        <v>462</v>
      </c>
      <c r="O42" s="17"/>
      <c r="P42" s="18" t="s">
        <v>463</v>
      </c>
      <c r="Q42" s="18"/>
      <c r="R42" s="19"/>
      <c r="U42" s="17" t="s">
        <v>464</v>
      </c>
      <c r="V42" s="18">
        <v>1245</v>
      </c>
      <c r="W42" s="18">
        <v>0.25</v>
      </c>
      <c r="X42" s="18"/>
      <c r="Y42" s="198">
        <f t="shared" ref="Y42:Y48" si="6">(Z42-AB42)/AB42</f>
        <v>-0.16261525565800503</v>
      </c>
      <c r="Z42" s="18">
        <v>999</v>
      </c>
      <c r="AA42" s="18">
        <v>0.24</v>
      </c>
      <c r="AB42" s="18">
        <v>1193</v>
      </c>
      <c r="AC42" s="19">
        <v>0.17</v>
      </c>
      <c r="AE42" s="198">
        <f t="shared" si="2"/>
        <v>8.4590297594781899E-2</v>
      </c>
      <c r="AG42">
        <f>V42</f>
        <v>1245</v>
      </c>
    </row>
    <row r="43" spans="1:34" x14ac:dyDescent="0.2">
      <c r="B43" t="s">
        <v>465</v>
      </c>
      <c r="D43" s="5">
        <v>141</v>
      </c>
      <c r="G43" s="155"/>
      <c r="J43" s="17" t="s">
        <v>466</v>
      </c>
      <c r="K43" s="102">
        <v>0.49</v>
      </c>
      <c r="L43" s="232">
        <f>450*K43</f>
        <v>220.5</v>
      </c>
      <c r="M43" s="233">
        <f>L43*13.7</f>
        <v>3020.85</v>
      </c>
      <c r="O43" s="43"/>
      <c r="P43" s="44" t="s">
        <v>467</v>
      </c>
      <c r="Q43" s="44"/>
      <c r="R43" s="45"/>
      <c r="U43" s="17" t="s">
        <v>468</v>
      </c>
      <c r="V43" s="18">
        <v>2671</v>
      </c>
      <c r="W43" s="18">
        <v>0.14000000000000001</v>
      </c>
      <c r="X43" s="18"/>
      <c r="Y43" s="198">
        <f t="shared" si="6"/>
        <v>1.6872890888638921E-2</v>
      </c>
      <c r="Z43" s="224">
        <v>2712</v>
      </c>
      <c r="AA43" s="224">
        <v>0.13</v>
      </c>
      <c r="AB43" s="224">
        <v>2667</v>
      </c>
      <c r="AC43" s="225">
        <v>0.08</v>
      </c>
      <c r="AE43" s="198">
        <f t="shared" si="2"/>
        <v>0.18147846174752005</v>
      </c>
      <c r="AG43">
        <f>V43</f>
        <v>2671</v>
      </c>
    </row>
    <row r="44" spans="1:34" x14ac:dyDescent="0.2">
      <c r="G44" s="155"/>
      <c r="J44" s="17" t="s">
        <v>469</v>
      </c>
      <c r="K44" s="102">
        <v>0.37</v>
      </c>
      <c r="L44" s="232">
        <f>450*K44</f>
        <v>166.5</v>
      </c>
      <c r="M44" s="233">
        <f>L44*13.7</f>
        <v>2281.0499999999997</v>
      </c>
      <c r="U44" s="17" t="s">
        <v>470</v>
      </c>
      <c r="V44" s="18">
        <v>1719</v>
      </c>
      <c r="W44" s="18">
        <v>7.0000000000000007E-2</v>
      </c>
      <c r="Y44" s="198">
        <f t="shared" si="6"/>
        <v>-0.43895513912549688</v>
      </c>
      <c r="Z44" s="234">
        <v>988</v>
      </c>
      <c r="AA44" s="234">
        <v>0.06</v>
      </c>
      <c r="AB44" s="234">
        <v>1761</v>
      </c>
      <c r="AC44" s="235">
        <v>0.04</v>
      </c>
      <c r="AE44" s="336">
        <f>V44/SUM($V$33:$V$45)</f>
        <v>0.11679576029351814</v>
      </c>
      <c r="AG44">
        <f>V44*1.2</f>
        <v>2062.7999999999997</v>
      </c>
    </row>
    <row r="45" spans="1:34" x14ac:dyDescent="0.2">
      <c r="J45" s="17" t="s">
        <v>457</v>
      </c>
      <c r="K45" s="102">
        <v>7.0000000000000007E-2</v>
      </c>
      <c r="L45" s="232">
        <f>450*K45</f>
        <v>31.500000000000004</v>
      </c>
      <c r="M45" s="233">
        <f>L45*13.7</f>
        <v>431.55</v>
      </c>
      <c r="U45" s="17" t="s">
        <v>471</v>
      </c>
      <c r="V45" s="18">
        <v>3079</v>
      </c>
      <c r="W45" s="18">
        <v>0.05</v>
      </c>
      <c r="X45" s="18"/>
      <c r="Y45" s="198">
        <f t="shared" si="6"/>
        <v>0.20539856600590467</v>
      </c>
      <c r="Z45" s="224">
        <v>2858</v>
      </c>
      <c r="AA45" s="224">
        <v>0.04</v>
      </c>
      <c r="AB45" s="224">
        <v>2371</v>
      </c>
      <c r="AC45" s="225">
        <v>7.0000000000000007E-2</v>
      </c>
      <c r="AE45" s="198">
        <f>V45/SUM($V$33:$V$45)</f>
        <v>0.20919961951352087</v>
      </c>
      <c r="AG45">
        <f>V45</f>
        <v>3079</v>
      </c>
    </row>
    <row r="46" spans="1:34" x14ac:dyDescent="0.2">
      <c r="B46" s="388">
        <v>0.57999999999999996</v>
      </c>
      <c r="C46" s="388">
        <v>0.75</v>
      </c>
      <c r="D46" t="s">
        <v>774</v>
      </c>
      <c r="J46" s="17" t="s">
        <v>472</v>
      </c>
      <c r="K46" s="102">
        <v>0.04</v>
      </c>
      <c r="L46" s="232">
        <f>450*K46</f>
        <v>18</v>
      </c>
      <c r="M46" s="233">
        <f>L46*13.7</f>
        <v>246.6</v>
      </c>
      <c r="U46" s="17" t="s">
        <v>473</v>
      </c>
      <c r="V46" s="18"/>
      <c r="W46" s="18"/>
      <c r="X46" s="18"/>
      <c r="Y46" s="198">
        <f t="shared" si="6"/>
        <v>0.35540069686411152</v>
      </c>
      <c r="Z46" s="224">
        <v>1167</v>
      </c>
      <c r="AA46" s="224">
        <v>0.05</v>
      </c>
      <c r="AB46" s="224">
        <v>861</v>
      </c>
      <c r="AC46" s="225">
        <v>0.09</v>
      </c>
      <c r="AE46" s="198">
        <f>V46/SUM($V$33:$V$45)</f>
        <v>0</v>
      </c>
    </row>
    <row r="47" spans="1:34" x14ac:dyDescent="0.2">
      <c r="B47" s="388"/>
      <c r="C47" s="388"/>
      <c r="J47" s="43" t="s">
        <v>435</v>
      </c>
      <c r="K47" s="104">
        <v>0.03</v>
      </c>
      <c r="L47" s="232">
        <f>450*K47</f>
        <v>13.5</v>
      </c>
      <c r="M47" s="233">
        <f>L47*13.7</f>
        <v>184.95</v>
      </c>
      <c r="U47" s="17" t="s">
        <v>367</v>
      </c>
      <c r="V47" s="18"/>
      <c r="W47" s="18"/>
      <c r="X47" s="18"/>
      <c r="Y47" s="198">
        <f t="shared" si="6"/>
        <v>-0.30420168067226888</v>
      </c>
      <c r="Z47" s="18">
        <v>414</v>
      </c>
      <c r="AA47" s="18">
        <v>0.01</v>
      </c>
      <c r="AB47" s="18">
        <v>595</v>
      </c>
      <c r="AC47" s="19">
        <v>0.02</v>
      </c>
    </row>
    <row r="48" spans="1:34" x14ac:dyDescent="0.2">
      <c r="B48" s="388">
        <v>1</v>
      </c>
      <c r="C48" s="388">
        <v>100</v>
      </c>
      <c r="D48" t="s">
        <v>775</v>
      </c>
      <c r="U48" s="43" t="s">
        <v>435</v>
      </c>
      <c r="V48" s="44">
        <v>746</v>
      </c>
      <c r="W48" s="44"/>
      <c r="X48" s="44"/>
      <c r="Y48" s="236">
        <f t="shared" si="6"/>
        <v>0.13394216133942161</v>
      </c>
      <c r="Z48" s="44">
        <v>745</v>
      </c>
      <c r="AA48" s="44">
        <v>0.33</v>
      </c>
      <c r="AB48" s="44">
        <v>657</v>
      </c>
      <c r="AC48" s="45">
        <v>0.28999999999999998</v>
      </c>
    </row>
    <row r="49" spans="2:33" x14ac:dyDescent="0.2">
      <c r="B49" s="388">
        <f>0.58</f>
        <v>0.57999999999999996</v>
      </c>
      <c r="C49" s="388">
        <f>C48*B49</f>
        <v>57.999999999999993</v>
      </c>
      <c r="D49" t="s">
        <v>776</v>
      </c>
      <c r="J49" t="s">
        <v>345</v>
      </c>
      <c r="K49">
        <f>354*13.7*0.95/1000</f>
        <v>4.60731</v>
      </c>
    </row>
    <row r="50" spans="2:33" x14ac:dyDescent="0.2">
      <c r="B50" s="388"/>
      <c r="C50" s="388"/>
      <c r="V50">
        <f>SUM(V33:V45)</f>
        <v>14718</v>
      </c>
      <c r="AG50">
        <f>SUM(AG33:AG45)</f>
        <v>15545.619999999999</v>
      </c>
    </row>
    <row r="51" spans="2:33" x14ac:dyDescent="0.2">
      <c r="B51" s="388">
        <v>0.75</v>
      </c>
      <c r="C51" s="389">
        <f>C49</f>
        <v>57.999999999999993</v>
      </c>
      <c r="D51" t="s">
        <v>777</v>
      </c>
      <c r="AG51">
        <f>(AG50/V50)-1</f>
        <v>5.623182497621948E-2</v>
      </c>
    </row>
    <row r="52" spans="2:33" x14ac:dyDescent="0.2">
      <c r="B52" s="388">
        <v>1</v>
      </c>
      <c r="C52" s="390">
        <f>C51/B51</f>
        <v>77.333333333333329</v>
      </c>
      <c r="D52" t="s">
        <v>778</v>
      </c>
    </row>
    <row r="54" spans="2:33" x14ac:dyDescent="0.2">
      <c r="B54" s="388"/>
      <c r="C54" s="391"/>
      <c r="E54" s="5"/>
    </row>
  </sheetData>
  <hyperlinks>
    <hyperlink ref="D1" r:id="rId1"/>
  </hyperlinks>
  <pageMargins left="0.7" right="0.7" top="0.75" bottom="0.75" header="0.3" footer="0.3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0"/>
  <sheetViews>
    <sheetView topLeftCell="D8" workbookViewId="0">
      <selection activeCell="F44" sqref="F44:K45"/>
    </sheetView>
  </sheetViews>
  <sheetFormatPr baseColWidth="10" defaultRowHeight="16" x14ac:dyDescent="0.2"/>
  <cols>
    <col min="6" max="6" width="11.1640625" bestFit="1" customWidth="1"/>
    <col min="13" max="13" width="11.83203125" bestFit="1" customWidth="1"/>
    <col min="19" max="19" width="11.1640625" bestFit="1" customWidth="1"/>
    <col min="31" max="31" width="12.5" bestFit="1" customWidth="1"/>
    <col min="34" max="34" width="20.33203125" bestFit="1" customWidth="1"/>
    <col min="36" max="36" width="11.33203125" customWidth="1"/>
    <col min="37" max="37" width="16.6640625" customWidth="1"/>
    <col min="38" max="38" width="9" customWidth="1"/>
  </cols>
  <sheetData>
    <row r="1" spans="1:50" x14ac:dyDescent="0.2">
      <c r="F1">
        <f>F5*68/1000</f>
        <v>246.88856681755766</v>
      </c>
      <c r="AF1">
        <v>13.9</v>
      </c>
      <c r="AP1" t="s">
        <v>327</v>
      </c>
    </row>
    <row r="2" spans="1:50" x14ac:dyDescent="0.2">
      <c r="E2" s="145">
        <v>2018</v>
      </c>
      <c r="F2" s="145" t="s">
        <v>258</v>
      </c>
      <c r="G2" s="145"/>
      <c r="H2" s="145"/>
      <c r="I2" s="145"/>
      <c r="J2" s="145"/>
      <c r="R2" s="145">
        <v>2018</v>
      </c>
      <c r="S2" s="145" t="s">
        <v>260</v>
      </c>
      <c r="T2" s="145"/>
      <c r="U2" s="145"/>
      <c r="V2" s="145"/>
      <c r="AP2" t="s">
        <v>324</v>
      </c>
      <c r="AW2" t="s">
        <v>325</v>
      </c>
    </row>
    <row r="3" spans="1:50" x14ac:dyDescent="0.2">
      <c r="A3" t="s">
        <v>12</v>
      </c>
      <c r="B3" s="139">
        <v>0.57999999999999996</v>
      </c>
      <c r="D3" t="s">
        <v>262</v>
      </c>
      <c r="AF3" t="s">
        <v>738</v>
      </c>
      <c r="AH3" t="s">
        <v>737</v>
      </c>
      <c r="AP3" t="s">
        <v>322</v>
      </c>
      <c r="AW3" t="s">
        <v>323</v>
      </c>
      <c r="AX3" t="s">
        <v>326</v>
      </c>
    </row>
    <row r="4" spans="1:50" x14ac:dyDescent="0.2">
      <c r="F4" t="s">
        <v>282</v>
      </c>
      <c r="G4" t="s">
        <v>257</v>
      </c>
      <c r="H4" t="s">
        <v>256</v>
      </c>
      <c r="I4" t="s">
        <v>276</v>
      </c>
      <c r="J4" t="s">
        <v>273</v>
      </c>
      <c r="K4" t="s">
        <v>259</v>
      </c>
      <c r="S4" t="s">
        <v>282</v>
      </c>
      <c r="T4" t="s">
        <v>257</v>
      </c>
      <c r="U4" t="s">
        <v>256</v>
      </c>
      <c r="V4" t="s">
        <v>276</v>
      </c>
      <c r="W4" t="s">
        <v>273</v>
      </c>
      <c r="X4" t="s">
        <v>259</v>
      </c>
      <c r="AE4" t="s">
        <v>12</v>
      </c>
      <c r="AF4" s="139">
        <v>0.57999999999999996</v>
      </c>
      <c r="AH4" s="139">
        <v>0.7</v>
      </c>
      <c r="AJ4">
        <f>AF4*AF1</f>
        <v>8.0619999999999994</v>
      </c>
      <c r="AK4">
        <v>1</v>
      </c>
      <c r="AP4" t="s">
        <v>282</v>
      </c>
      <c r="AQ4" t="s">
        <v>326</v>
      </c>
    </row>
    <row r="5" spans="1:50" x14ac:dyDescent="0.2">
      <c r="D5">
        <v>60423.3</v>
      </c>
      <c r="E5">
        <v>1</v>
      </c>
      <c r="F5">
        <v>3630.7142179052598</v>
      </c>
      <c r="G5">
        <v>2723.0356634289501</v>
      </c>
      <c r="H5">
        <v>2489.6326065636099</v>
      </c>
      <c r="I5">
        <v>3091.8317950494002</v>
      </c>
      <c r="J5">
        <v>2318.8738462870501</v>
      </c>
      <c r="K5">
        <v>2120.1132308910101</v>
      </c>
      <c r="M5" s="133">
        <f>(H5/F5)-1</f>
        <v>-0.31428571428571339</v>
      </c>
      <c r="N5" s="133">
        <f t="shared" ref="N5:N20" si="0">(K5/H5)-1</f>
        <v>-0.14842325518167121</v>
      </c>
      <c r="O5" s="133">
        <f t="shared" ref="O5:O20" si="1">(J5/F5)-1</f>
        <v>-0.36131744138625044</v>
      </c>
      <c r="P5" s="133">
        <f t="shared" ref="P5:P20" si="2">(K5/F5)-1</f>
        <v>-0.41606166069600237</v>
      </c>
      <c r="R5">
        <v>1</v>
      </c>
      <c r="S5">
        <v>10892.1426537158</v>
      </c>
      <c r="T5">
        <v>9172.3306557606593</v>
      </c>
      <c r="U5">
        <v>8801.7314373460904</v>
      </c>
      <c r="V5">
        <v>9275.4953851481896</v>
      </c>
      <c r="W5">
        <v>7810.94348223005</v>
      </c>
      <c r="X5">
        <v>7495.3498061803502</v>
      </c>
      <c r="Y5" s="133">
        <f t="shared" ref="Y5:Y20" si="3">(U5/S5)-1</f>
        <v>-0.19191919191919293</v>
      </c>
      <c r="Z5" s="133">
        <f t="shared" ref="Z5:Z20" si="4">(X5/U5)-1</f>
        <v>-0.14842325518166932</v>
      </c>
      <c r="AA5" s="133">
        <f t="shared" ref="AA5:AA20" si="5">(X5/S5)-1</f>
        <v>-0.31185717590438011</v>
      </c>
      <c r="AC5">
        <f>S7</f>
        <v>7718.84413191368</v>
      </c>
      <c r="AE5" t="s">
        <v>41</v>
      </c>
      <c r="AF5" s="139">
        <f>1-AF4</f>
        <v>0.42000000000000004</v>
      </c>
      <c r="AH5" s="139">
        <f>1-AH4</f>
        <v>0.30000000000000004</v>
      </c>
      <c r="AJ5">
        <f>AF5*AF1</f>
        <v>5.838000000000001</v>
      </c>
      <c r="AK5" s="155">
        <v>0.42899999999999999</v>
      </c>
      <c r="AO5">
        <v>1</v>
      </c>
      <c r="AP5" s="5">
        <f t="shared" ref="AP5:AP20" si="6">S5*$D5/10^6</f>
        <v>658.13920320826594</v>
      </c>
      <c r="AQ5" s="5">
        <f t="shared" ref="AQ5:AQ20" si="7">V5*$D5/10^6</f>
        <v>560.45604030542472</v>
      </c>
      <c r="AR5" s="5"/>
      <c r="AS5" s="5"/>
      <c r="AT5" s="5"/>
      <c r="AU5" s="5"/>
      <c r="AV5" s="5"/>
      <c r="AW5" s="5">
        <f t="shared" ref="AW5:AW20" si="8">F5*$D5/10^6</f>
        <v>219.37973440275491</v>
      </c>
      <c r="AX5" s="157">
        <f t="shared" ref="AX5:AX20" si="9">I5*$D5/10^6</f>
        <v>186.81868010180844</v>
      </c>
    </row>
    <row r="6" spans="1:50" x14ac:dyDescent="0.2">
      <c r="D6">
        <v>307871.09999999998</v>
      </c>
      <c r="E6">
        <v>2</v>
      </c>
      <c r="F6">
        <v>3319.1083783786598</v>
      </c>
      <c r="G6">
        <v>2489.3312837839899</v>
      </c>
      <c r="H6">
        <v>2275.96003088822</v>
      </c>
      <c r="I6">
        <v>2870.9521184991099</v>
      </c>
      <c r="J6">
        <v>2153.2140888743302</v>
      </c>
      <c r="K6">
        <v>1968.65288125653</v>
      </c>
      <c r="M6" s="133">
        <f t="shared" ref="M6:M20" si="10">(H6/F6)-1</f>
        <v>-0.3142857142857155</v>
      </c>
      <c r="N6" s="133">
        <f t="shared" si="0"/>
        <v>-0.13502308716368794</v>
      </c>
      <c r="O6" s="133">
        <f t="shared" si="1"/>
        <v>-0.3512673153727669</v>
      </c>
      <c r="P6" s="133">
        <f t="shared" si="2"/>
        <v>-0.40687297405510126</v>
      </c>
      <c r="R6">
        <v>2</v>
      </c>
      <c r="S6">
        <v>9957.3251351359704</v>
      </c>
      <c r="T6">
        <v>8385.1159032724008</v>
      </c>
      <c r="U6">
        <v>8046.3233415240202</v>
      </c>
      <c r="V6">
        <v>8612.8563554973207</v>
      </c>
      <c r="W6">
        <v>7252.9316677872202</v>
      </c>
      <c r="X6">
        <v>6959.8839236342001</v>
      </c>
      <c r="Y6" s="133">
        <f t="shared" si="3"/>
        <v>-0.1919191919191916</v>
      </c>
      <c r="Z6" s="133">
        <f t="shared" si="4"/>
        <v>-0.1350230871636886</v>
      </c>
      <c r="AA6" s="133">
        <f t="shared" si="5"/>
        <v>-0.30102875730399048</v>
      </c>
      <c r="AO6">
        <v>2</v>
      </c>
      <c r="AP6" s="5">
        <f t="shared" si="6"/>
        <v>3065.5726424119598</v>
      </c>
      <c r="AQ6" s="5">
        <f t="shared" si="7"/>
        <v>2651.6495603089511</v>
      </c>
      <c r="AR6" s="5"/>
      <c r="AS6" s="5"/>
      <c r="AT6" s="5"/>
      <c r="AU6" s="5"/>
      <c r="AV6" s="5"/>
      <c r="AW6" s="5">
        <f t="shared" si="8"/>
        <v>1021.8575474706541</v>
      </c>
      <c r="AX6" s="157">
        <f t="shared" si="9"/>
        <v>883.88318676965127</v>
      </c>
    </row>
    <row r="7" spans="1:50" x14ac:dyDescent="0.2">
      <c r="B7">
        <f>G7*0.175</f>
        <v>337.69943077122349</v>
      </c>
      <c r="D7">
        <v>1268388.8999999999</v>
      </c>
      <c r="E7">
        <v>3</v>
      </c>
      <c r="F7">
        <v>2572.9480439712302</v>
      </c>
      <c r="G7">
        <v>1929.71103297842</v>
      </c>
      <c r="H7">
        <v>1764.3072301517</v>
      </c>
      <c r="I7">
        <v>2072.71428381953</v>
      </c>
      <c r="J7">
        <v>1554.5357128646499</v>
      </c>
      <c r="K7">
        <v>1421.2897946191099</v>
      </c>
      <c r="M7" s="133">
        <f t="shared" si="10"/>
        <v>-0.31428571428571461</v>
      </c>
      <c r="N7" s="133">
        <f t="shared" si="0"/>
        <v>-0.19442046695183379</v>
      </c>
      <c r="O7" s="133">
        <f t="shared" si="1"/>
        <v>-0.39581535021387626</v>
      </c>
      <c r="P7" s="133">
        <f t="shared" si="2"/>
        <v>-0.44760260590982914</v>
      </c>
      <c r="Q7">
        <f>T7/29.3</f>
        <v>221.84570883890581</v>
      </c>
      <c r="R7">
        <v>3</v>
      </c>
      <c r="S7">
        <v>7718.84413191368</v>
      </c>
      <c r="T7">
        <v>6500.07926897994</v>
      </c>
      <c r="U7">
        <v>6237.4498035666102</v>
      </c>
      <c r="V7">
        <v>6218.1428514585996</v>
      </c>
      <c r="W7">
        <v>5236.3308222809301</v>
      </c>
      <c r="X7">
        <v>5024.7619001685598</v>
      </c>
      <c r="Y7" s="133">
        <f t="shared" si="3"/>
        <v>-0.19191919191919193</v>
      </c>
      <c r="Z7" s="133">
        <f t="shared" si="4"/>
        <v>-0.19442046695183479</v>
      </c>
      <c r="AA7" s="133">
        <f t="shared" si="5"/>
        <v>-0.34902663996107863</v>
      </c>
      <c r="AF7" s="352">
        <f>AF4*AH4+AF5*AH5</f>
        <v>0.53200000000000003</v>
      </c>
      <c r="AH7" s="351">
        <f>AH5/AH4</f>
        <v>0.42857142857142866</v>
      </c>
      <c r="AJ7">
        <f>SUM(AJ4:AJ5)</f>
        <v>13.9</v>
      </c>
      <c r="AK7">
        <f>AK4*AJ4+AK5*AJ5</f>
        <v>10.566502</v>
      </c>
      <c r="AO7">
        <v>3</v>
      </c>
      <c r="AP7" s="5">
        <f t="shared" si="6"/>
        <v>9790.4962177494472</v>
      </c>
      <c r="AQ7" s="5">
        <f t="shared" si="7"/>
        <v>7887.0233714044361</v>
      </c>
      <c r="AR7" s="5"/>
      <c r="AS7" s="5"/>
      <c r="AT7" s="5"/>
      <c r="AU7" s="5"/>
      <c r="AV7" s="5"/>
      <c r="AW7" s="5">
        <f t="shared" si="8"/>
        <v>3263.4987392498201</v>
      </c>
      <c r="AX7" s="157">
        <f t="shared" si="9"/>
        <v>2629.0077904681411</v>
      </c>
    </row>
    <row r="8" spans="1:50" x14ac:dyDescent="0.2">
      <c r="D8">
        <v>665907.30000000005</v>
      </c>
      <c r="E8">
        <v>4</v>
      </c>
      <c r="F8">
        <v>2533.7424778506202</v>
      </c>
      <c r="G8">
        <v>1900.3068583879599</v>
      </c>
      <c r="H8">
        <v>1737.4234133832799</v>
      </c>
      <c r="I8">
        <v>2096.56667183224</v>
      </c>
      <c r="J8">
        <v>1572.42500387418</v>
      </c>
      <c r="K8">
        <v>1437.6457178278199</v>
      </c>
      <c r="M8" s="133">
        <f t="shared" si="10"/>
        <v>-0.31428571428571528</v>
      </c>
      <c r="N8" s="133">
        <f t="shared" si="0"/>
        <v>-0.17254153089355673</v>
      </c>
      <c r="O8" s="133">
        <f t="shared" si="1"/>
        <v>-0.37940614817016771</v>
      </c>
      <c r="P8" s="133">
        <f t="shared" si="2"/>
        <v>-0.43259990689843975</v>
      </c>
      <c r="R8">
        <v>4</v>
      </c>
      <c r="S8">
        <v>7601.2274335518496</v>
      </c>
      <c r="T8">
        <v>6401.0336282541903</v>
      </c>
      <c r="U8">
        <v>6142.4060069105899</v>
      </c>
      <c r="V8">
        <v>6289.70001549671</v>
      </c>
      <c r="W8">
        <v>5296.5894867340703</v>
      </c>
      <c r="X8">
        <v>5082.5858711084602</v>
      </c>
      <c r="Y8" s="133">
        <f t="shared" si="3"/>
        <v>-0.19191919191919138</v>
      </c>
      <c r="Z8" s="133">
        <f t="shared" si="4"/>
        <v>-0.17254153089355639</v>
      </c>
      <c r="AA8" s="133">
        <f t="shared" si="5"/>
        <v>-0.33134669163115615</v>
      </c>
      <c r="AK8">
        <f>AK7/SUM(AJ4:AJ5)</f>
        <v>0.76017999999999997</v>
      </c>
      <c r="AO8">
        <v>4</v>
      </c>
      <c r="AP8" s="5">
        <f t="shared" si="6"/>
        <v>5061.7128369624415</v>
      </c>
      <c r="AQ8" s="5">
        <f t="shared" si="7"/>
        <v>4188.3571551293726</v>
      </c>
      <c r="AR8" s="5"/>
      <c r="AS8" s="5"/>
      <c r="AT8" s="5"/>
      <c r="AU8" s="5"/>
      <c r="AV8" s="5"/>
      <c r="AW8" s="5">
        <f t="shared" si="8"/>
        <v>1687.2376123208162</v>
      </c>
      <c r="AX8" s="157">
        <f t="shared" si="9"/>
        <v>1396.119051709793</v>
      </c>
    </row>
    <row r="9" spans="1:50" x14ac:dyDescent="0.2">
      <c r="D9">
        <v>155749.5</v>
      </c>
      <c r="E9">
        <v>5</v>
      </c>
      <c r="F9">
        <v>2640.6952622276399</v>
      </c>
      <c r="G9">
        <v>1980.52144667073</v>
      </c>
      <c r="H9">
        <v>1810.7624655275199</v>
      </c>
      <c r="I9">
        <v>2098.7363126661699</v>
      </c>
      <c r="J9">
        <v>1574.05223449963</v>
      </c>
      <c r="K9">
        <v>1439.1334715425201</v>
      </c>
      <c r="M9" s="133">
        <f t="shared" si="10"/>
        <v>-0.31428571428571606</v>
      </c>
      <c r="N9" s="133">
        <f t="shared" si="0"/>
        <v>-0.20523343125335614</v>
      </c>
      <c r="O9" s="133">
        <f t="shared" si="1"/>
        <v>-0.40392507344001904</v>
      </c>
      <c r="P9" s="133">
        <f t="shared" si="2"/>
        <v>-0.45501721000230266</v>
      </c>
      <c r="R9">
        <v>5</v>
      </c>
      <c r="S9">
        <v>7922.0857866829201</v>
      </c>
      <c r="T9">
        <v>6671.2301361540403</v>
      </c>
      <c r="U9">
        <v>6401.6854841882196</v>
      </c>
      <c r="V9">
        <v>6296.20893799852</v>
      </c>
      <c r="W9">
        <v>5302.0706846303301</v>
      </c>
      <c r="X9">
        <v>5087.8456064634502</v>
      </c>
      <c r="Y9" s="133">
        <f t="shared" si="3"/>
        <v>-0.19191919191919171</v>
      </c>
      <c r="Z9" s="133">
        <f t="shared" si="4"/>
        <v>-0.20523343125335902</v>
      </c>
      <c r="AA9" s="133">
        <f t="shared" si="5"/>
        <v>-0.35776438889160311</v>
      </c>
      <c r="AO9">
        <v>5</v>
      </c>
      <c r="AP9" s="5">
        <f t="shared" si="6"/>
        <v>1233.8609002329715</v>
      </c>
      <c r="AQ9" s="5">
        <f t="shared" si="7"/>
        <v>980.63139398880048</v>
      </c>
      <c r="AR9" s="5"/>
      <c r="AS9" s="5"/>
      <c r="AT9" s="5"/>
      <c r="AU9" s="5"/>
      <c r="AV9" s="5"/>
      <c r="AW9" s="5">
        <f t="shared" si="8"/>
        <v>411.28696674432376</v>
      </c>
      <c r="AX9" s="157">
        <f t="shared" si="9"/>
        <v>326.87713132959959</v>
      </c>
    </row>
    <row r="10" spans="1:50" x14ac:dyDescent="0.2">
      <c r="D10">
        <v>961518.6</v>
      </c>
      <c r="E10">
        <v>6</v>
      </c>
      <c r="F10">
        <v>1307.078725069</v>
      </c>
      <c r="G10">
        <v>980.30904380175002</v>
      </c>
      <c r="H10">
        <v>896.282554333029</v>
      </c>
      <c r="I10">
        <v>948.03453467280701</v>
      </c>
      <c r="J10">
        <v>711.025901004606</v>
      </c>
      <c r="K10">
        <v>650.08082377563903</v>
      </c>
      <c r="M10" s="133">
        <f t="shared" si="10"/>
        <v>-0.31428571428571395</v>
      </c>
      <c r="N10" s="133">
        <f t="shared" si="0"/>
        <v>-0.27469209276376205</v>
      </c>
      <c r="O10" s="133">
        <f t="shared" si="1"/>
        <v>-0.45601906957282068</v>
      </c>
      <c r="P10" s="133">
        <f t="shared" si="2"/>
        <v>-0.50264600646657942</v>
      </c>
      <c r="R10">
        <v>6</v>
      </c>
      <c r="S10">
        <v>3921.2361752070001</v>
      </c>
      <c r="T10">
        <v>3302.0936212269498</v>
      </c>
      <c r="U10">
        <v>3168.67569713697</v>
      </c>
      <c r="V10">
        <v>2844.1036040184199</v>
      </c>
      <c r="W10">
        <v>2395.0346139102498</v>
      </c>
      <c r="X10">
        <v>2298.26553860075</v>
      </c>
      <c r="Y10" s="133">
        <f t="shared" si="3"/>
        <v>-0.19191919191919182</v>
      </c>
      <c r="Z10" s="133">
        <f t="shared" si="4"/>
        <v>-0.27469209276375983</v>
      </c>
      <c r="AA10" s="133">
        <f t="shared" si="5"/>
        <v>-0.41389260021313923</v>
      </c>
      <c r="AK10">
        <f>0.58*1+0.42*0.42</f>
        <v>0.75639999999999996</v>
      </c>
      <c r="AO10">
        <v>6</v>
      </c>
      <c r="AP10" s="5">
        <f t="shared" si="6"/>
        <v>3770.3415174543898</v>
      </c>
      <c r="AQ10" s="5">
        <f t="shared" si="7"/>
        <v>2734.6585155907455</v>
      </c>
      <c r="AR10" s="5"/>
      <c r="AS10" s="5"/>
      <c r="AT10" s="5"/>
      <c r="AU10" s="5"/>
      <c r="AV10" s="5"/>
      <c r="AW10" s="5">
        <f t="shared" si="8"/>
        <v>1256.7805058181298</v>
      </c>
      <c r="AX10" s="157">
        <f t="shared" si="9"/>
        <v>911.55283853024889</v>
      </c>
    </row>
    <row r="11" spans="1:50" x14ac:dyDescent="0.2">
      <c r="A11">
        <f>263</f>
        <v>263</v>
      </c>
      <c r="D11">
        <v>752726.7</v>
      </c>
      <c r="E11">
        <v>7</v>
      </c>
      <c r="F11">
        <v>1110.7372499369901</v>
      </c>
      <c r="G11">
        <v>833.05293745274196</v>
      </c>
      <c r="H11">
        <v>761.64839995679301</v>
      </c>
      <c r="I11">
        <v>749.28068033560805</v>
      </c>
      <c r="J11">
        <v>561.96051025170595</v>
      </c>
      <c r="K11">
        <v>513.79246651584594</v>
      </c>
      <c r="M11" s="133">
        <f t="shared" si="10"/>
        <v>-0.3142857142857145</v>
      </c>
      <c r="N11" s="133">
        <f t="shared" si="0"/>
        <v>-0.32542040849164455</v>
      </c>
      <c r="O11" s="133">
        <f t="shared" si="1"/>
        <v>-0.49406530636873403</v>
      </c>
      <c r="P11" s="133">
        <f t="shared" si="2"/>
        <v>-0.53743113725141356</v>
      </c>
      <c r="R11">
        <v>7</v>
      </c>
      <c r="S11">
        <v>3332.2117498109701</v>
      </c>
      <c r="T11">
        <v>2806.0730524723999</v>
      </c>
      <c r="U11">
        <v>2692.6963634836102</v>
      </c>
      <c r="V11">
        <v>2247.8420410068202</v>
      </c>
      <c r="W11">
        <v>1892.9196134794299</v>
      </c>
      <c r="X11">
        <v>1816.4380129348101</v>
      </c>
      <c r="Y11" s="133">
        <f t="shared" si="3"/>
        <v>-0.19191919191919249</v>
      </c>
      <c r="Z11" s="133">
        <f t="shared" si="4"/>
        <v>-0.32542040849164378</v>
      </c>
      <c r="AA11" s="133">
        <f t="shared" si="5"/>
        <v>-0.45488517857910649</v>
      </c>
      <c r="AO11">
        <v>7</v>
      </c>
      <c r="AP11" s="5">
        <f t="shared" si="6"/>
        <v>2508.2447541364368</v>
      </c>
      <c r="AQ11" s="5">
        <f t="shared" si="7"/>
        <v>1692.0107216483284</v>
      </c>
      <c r="AR11" s="5"/>
      <c r="AS11" s="5"/>
      <c r="AT11" s="5"/>
      <c r="AU11" s="5"/>
      <c r="AV11" s="5"/>
      <c r="AW11" s="5">
        <f t="shared" si="8"/>
        <v>836.08158471214574</v>
      </c>
      <c r="AX11" s="157">
        <f t="shared" si="9"/>
        <v>564.00357388277712</v>
      </c>
    </row>
    <row r="12" spans="1:50" x14ac:dyDescent="0.2">
      <c r="D12">
        <v>1548237.6</v>
      </c>
      <c r="E12">
        <v>8</v>
      </c>
      <c r="F12">
        <v>1127.67405450109</v>
      </c>
      <c r="G12">
        <v>845.75554087581997</v>
      </c>
      <c r="H12">
        <v>773.26220880074902</v>
      </c>
      <c r="I12">
        <v>770.90299509584497</v>
      </c>
      <c r="J12">
        <v>578.17724632188401</v>
      </c>
      <c r="K12">
        <v>528.61919663715105</v>
      </c>
      <c r="M12" s="133">
        <f t="shared" si="10"/>
        <v>-0.31428571428571295</v>
      </c>
      <c r="N12" s="133">
        <f t="shared" si="0"/>
        <v>-0.31637782032955464</v>
      </c>
      <c r="O12" s="133">
        <f t="shared" si="1"/>
        <v>-0.48728336524716498</v>
      </c>
      <c r="P12" s="133">
        <f t="shared" si="2"/>
        <v>-0.53123050536883654</v>
      </c>
      <c r="R12">
        <v>8</v>
      </c>
      <c r="S12">
        <v>3383.0221635032799</v>
      </c>
      <c r="T12">
        <v>2848.8607692659202</v>
      </c>
      <c r="U12">
        <v>2733.75528363901</v>
      </c>
      <c r="V12">
        <v>2312.7089852875401</v>
      </c>
      <c r="W12">
        <v>1947.5444086631901</v>
      </c>
      <c r="X12">
        <v>1868.8557456869</v>
      </c>
      <c r="Y12" s="133">
        <f t="shared" si="3"/>
        <v>-0.19191919191919316</v>
      </c>
      <c r="Z12" s="133">
        <f t="shared" si="4"/>
        <v>-0.31637782032955342</v>
      </c>
      <c r="AA12" s="133">
        <f t="shared" si="5"/>
        <v>-0.447578036629943</v>
      </c>
      <c r="AO12">
        <v>8</v>
      </c>
      <c r="AP12" s="5">
        <f t="shared" si="6"/>
        <v>5237.7221151691256</v>
      </c>
      <c r="AQ12" s="5">
        <f t="shared" si="7"/>
        <v>3580.6230088800166</v>
      </c>
      <c r="AR12" s="5"/>
      <c r="AS12" s="5"/>
      <c r="AT12" s="5"/>
      <c r="AU12" s="5"/>
      <c r="AV12" s="5"/>
      <c r="AW12" s="5">
        <f t="shared" si="8"/>
        <v>1745.9073717230369</v>
      </c>
      <c r="AX12" s="157">
        <f t="shared" si="9"/>
        <v>1193.541002960003</v>
      </c>
    </row>
    <row r="13" spans="1:50" x14ac:dyDescent="0.2">
      <c r="D13">
        <v>2000349</v>
      </c>
      <c r="E13">
        <v>9</v>
      </c>
      <c r="F13">
        <v>1227.7266592408901</v>
      </c>
      <c r="G13">
        <v>920.79499443066504</v>
      </c>
      <c r="H13">
        <v>841.86970919375096</v>
      </c>
      <c r="I13">
        <v>839.156633159835</v>
      </c>
      <c r="J13">
        <v>629.36747486987599</v>
      </c>
      <c r="K13">
        <v>575.42169130960099</v>
      </c>
      <c r="M13" s="133">
        <f t="shared" si="10"/>
        <v>-0.31428571428571606</v>
      </c>
      <c r="N13" s="133">
        <f t="shared" si="0"/>
        <v>-0.31649555147829733</v>
      </c>
      <c r="O13" s="133">
        <f t="shared" si="1"/>
        <v>-0.48737166360872441</v>
      </c>
      <c r="P13" s="133">
        <f t="shared" si="2"/>
        <v>-0.53131123529940516</v>
      </c>
      <c r="R13">
        <v>9</v>
      </c>
      <c r="S13">
        <v>3683.1799777226602</v>
      </c>
      <c r="T13">
        <v>3101.6252443980302</v>
      </c>
      <c r="U13">
        <v>2976.30705270518</v>
      </c>
      <c r="V13">
        <v>2517.4698994794999</v>
      </c>
      <c r="W13">
        <v>2119.9746521932698</v>
      </c>
      <c r="X13">
        <v>2034.3191106905099</v>
      </c>
      <c r="Y13" s="133">
        <f t="shared" si="3"/>
        <v>-0.19191919191919193</v>
      </c>
      <c r="Z13" s="133">
        <f t="shared" si="4"/>
        <v>-0.31649555147829678</v>
      </c>
      <c r="AA13" s="133">
        <f t="shared" si="5"/>
        <v>-0.44767317291175501</v>
      </c>
      <c r="AO13">
        <v>9</v>
      </c>
      <c r="AP13" s="5">
        <f t="shared" si="6"/>
        <v>7367.6453852575451</v>
      </c>
      <c r="AQ13" s="5">
        <f t="shared" si="7"/>
        <v>5035.8183959539183</v>
      </c>
      <c r="AR13" s="5"/>
      <c r="AS13" s="5"/>
      <c r="AT13" s="5"/>
      <c r="AU13" s="5"/>
      <c r="AV13" s="5"/>
      <c r="AW13" s="5">
        <f t="shared" si="8"/>
        <v>2455.8817950858552</v>
      </c>
      <c r="AX13" s="157">
        <f t="shared" si="9"/>
        <v>1678.6061319846428</v>
      </c>
    </row>
    <row r="14" spans="1:50" x14ac:dyDescent="0.2">
      <c r="D14">
        <v>1344825</v>
      </c>
      <c r="E14">
        <v>10</v>
      </c>
      <c r="F14">
        <v>1407.4136098848601</v>
      </c>
      <c r="G14">
        <v>1055.56020741365</v>
      </c>
      <c r="H14">
        <v>965.08361820676305</v>
      </c>
      <c r="I14">
        <v>981.16599997283095</v>
      </c>
      <c r="J14">
        <v>735.87449997962301</v>
      </c>
      <c r="K14">
        <v>672.79954283851305</v>
      </c>
      <c r="M14" s="133">
        <f t="shared" si="10"/>
        <v>-0.31428571428571295</v>
      </c>
      <c r="N14" s="133">
        <f t="shared" si="0"/>
        <v>-0.30285880917898866</v>
      </c>
      <c r="O14" s="133">
        <f t="shared" si="1"/>
        <v>-0.47714410688424092</v>
      </c>
      <c r="P14" s="133">
        <f t="shared" si="2"/>
        <v>-0.52196032629416278</v>
      </c>
      <c r="R14">
        <v>10</v>
      </c>
      <c r="S14">
        <v>4222.24082965459</v>
      </c>
      <c r="T14">
        <v>3555.5712249722901</v>
      </c>
      <c r="U14">
        <v>3411.91178153906</v>
      </c>
      <c r="V14">
        <v>2943.4979999184902</v>
      </c>
      <c r="W14">
        <v>2478.7351578261</v>
      </c>
      <c r="X14">
        <v>2378.5842423583799</v>
      </c>
      <c r="Y14" s="133">
        <f t="shared" si="3"/>
        <v>-0.19191919191919249</v>
      </c>
      <c r="Z14" s="133">
        <f t="shared" si="4"/>
        <v>-0.30285880917898822</v>
      </c>
      <c r="AA14" s="133">
        <f t="shared" si="5"/>
        <v>-0.43665358317494041</v>
      </c>
      <c r="AO14">
        <v>10</v>
      </c>
      <c r="AP14" s="5">
        <f t="shared" si="6"/>
        <v>5678.1750237402348</v>
      </c>
      <c r="AQ14" s="5">
        <f t="shared" si="7"/>
        <v>3958.4896977403837</v>
      </c>
      <c r="AR14" s="5"/>
      <c r="AS14" s="5"/>
      <c r="AT14" s="5"/>
      <c r="AU14" s="5"/>
      <c r="AV14" s="5"/>
      <c r="AW14" s="5">
        <f t="shared" si="8"/>
        <v>1892.7250079134069</v>
      </c>
      <c r="AX14" s="157">
        <f t="shared" si="9"/>
        <v>1319.4965659134623</v>
      </c>
    </row>
    <row r="15" spans="1:50" x14ac:dyDescent="0.2">
      <c r="D15">
        <v>356284.8</v>
      </c>
      <c r="E15">
        <v>11</v>
      </c>
      <c r="F15">
        <v>2265.5764055856498</v>
      </c>
      <c r="G15">
        <v>1699.1823041892401</v>
      </c>
      <c r="H15">
        <v>1553.5381066872999</v>
      </c>
      <c r="I15">
        <v>1913.46298508932</v>
      </c>
      <c r="J15">
        <v>1435.0972388169901</v>
      </c>
      <c r="K15">
        <v>1312.0889040612501</v>
      </c>
      <c r="M15" s="133">
        <f t="shared" si="10"/>
        <v>-0.3142857142857155</v>
      </c>
      <c r="N15" s="133">
        <f t="shared" si="0"/>
        <v>-0.1554189122151024</v>
      </c>
      <c r="O15" s="133">
        <f t="shared" si="1"/>
        <v>-0.36656418416132897</v>
      </c>
      <c r="P15" s="133">
        <f t="shared" si="2"/>
        <v>-0.4208586826617855</v>
      </c>
      <c r="R15">
        <v>11</v>
      </c>
      <c r="S15">
        <v>6796.7292167569503</v>
      </c>
      <c r="T15">
        <v>5723.5614456900703</v>
      </c>
      <c r="U15">
        <v>5492.3064377833998</v>
      </c>
      <c r="V15">
        <v>5740.3889552679702</v>
      </c>
      <c r="W15">
        <v>4834.01175180461</v>
      </c>
      <c r="X15">
        <v>4638.6981456710901</v>
      </c>
      <c r="Y15" s="133">
        <f t="shared" si="3"/>
        <v>-0.19191919191919105</v>
      </c>
      <c r="Z15" s="133">
        <f t="shared" si="4"/>
        <v>-0.15541891221510418</v>
      </c>
      <c r="AA15" s="133">
        <f t="shared" si="5"/>
        <v>-0.31751023209301277</v>
      </c>
      <c r="AO15">
        <v>11</v>
      </c>
      <c r="AP15" s="5">
        <f t="shared" si="6"/>
        <v>2421.5713096464065</v>
      </c>
      <c r="AQ15" s="5">
        <f t="shared" si="7"/>
        <v>2045.2133308498576</v>
      </c>
      <c r="AR15" s="5"/>
      <c r="AS15" s="5"/>
      <c r="AT15" s="5"/>
      <c r="AU15" s="5"/>
      <c r="AV15" s="5"/>
      <c r="AW15" s="5">
        <f t="shared" si="8"/>
        <v>807.19043654880215</v>
      </c>
      <c r="AX15" s="157">
        <f t="shared" si="9"/>
        <v>681.73777694995124</v>
      </c>
    </row>
    <row r="16" spans="1:50" x14ac:dyDescent="0.2">
      <c r="D16">
        <v>1564000.2</v>
      </c>
      <c r="E16">
        <v>12</v>
      </c>
      <c r="F16">
        <v>2077.7033327356899</v>
      </c>
      <c r="G16">
        <v>1558.27749955177</v>
      </c>
      <c r="H16">
        <v>1424.7108567330499</v>
      </c>
      <c r="I16">
        <v>1719.9285245500701</v>
      </c>
      <c r="J16">
        <v>1289.9463934125499</v>
      </c>
      <c r="K16">
        <v>1179.3795596914799</v>
      </c>
      <c r="M16" s="133">
        <f t="shared" si="10"/>
        <v>-0.31428571428571161</v>
      </c>
      <c r="N16" s="133">
        <f t="shared" si="0"/>
        <v>-0.17219725383726625</v>
      </c>
      <c r="O16" s="133">
        <f t="shared" si="1"/>
        <v>-0.3791479403779503</v>
      </c>
      <c r="P16" s="133">
        <f t="shared" si="2"/>
        <v>-0.43236383120269462</v>
      </c>
      <c r="R16">
        <v>12</v>
      </c>
      <c r="S16">
        <v>6233.10999820708</v>
      </c>
      <c r="T16">
        <v>5248.9347353322801</v>
      </c>
      <c r="U16">
        <v>5036.8565642077401</v>
      </c>
      <c r="V16">
        <v>5159.7855736502197</v>
      </c>
      <c r="W16">
        <v>4345.0825883370298</v>
      </c>
      <c r="X16">
        <v>4169.5236958789701</v>
      </c>
      <c r="Y16" s="133">
        <f t="shared" si="3"/>
        <v>-0.19191919191919216</v>
      </c>
      <c r="Z16" s="133">
        <f t="shared" si="4"/>
        <v>-0.17219725383726403</v>
      </c>
      <c r="AA16" s="133">
        <f t="shared" si="5"/>
        <v>-0.33106848794930444</v>
      </c>
      <c r="AO16">
        <v>12</v>
      </c>
      <c r="AP16" s="5">
        <f t="shared" si="6"/>
        <v>9748.5852838178726</v>
      </c>
      <c r="AQ16" s="5">
        <f t="shared" si="7"/>
        <v>8069.9056691460582</v>
      </c>
      <c r="AR16" s="5"/>
      <c r="AS16" s="5"/>
      <c r="AT16" s="5"/>
      <c r="AU16" s="5"/>
      <c r="AV16" s="5"/>
      <c r="AW16" s="5">
        <f t="shared" si="8"/>
        <v>3249.5284279392854</v>
      </c>
      <c r="AX16" s="157">
        <f t="shared" si="9"/>
        <v>2689.9685563820144</v>
      </c>
    </row>
    <row r="17" spans="2:50" x14ac:dyDescent="0.2">
      <c r="D17">
        <v>787004.1</v>
      </c>
      <c r="E17">
        <v>13</v>
      </c>
      <c r="F17">
        <v>1932.17227129599</v>
      </c>
      <c r="G17">
        <v>1449.12920347199</v>
      </c>
      <c r="H17">
        <v>1324.91812888868</v>
      </c>
      <c r="I17">
        <v>1582.11216318381</v>
      </c>
      <c r="J17">
        <v>1186.5841223878599</v>
      </c>
      <c r="K17">
        <v>1084.8769118974701</v>
      </c>
      <c r="M17" s="133">
        <f t="shared" si="10"/>
        <v>-0.31428571428571361</v>
      </c>
      <c r="N17" s="133">
        <f t="shared" si="0"/>
        <v>-0.18117437731231933</v>
      </c>
      <c r="O17" s="133">
        <f t="shared" si="1"/>
        <v>-0.385880782984238</v>
      </c>
      <c r="P17" s="133">
        <f t="shared" si="2"/>
        <v>-0.43851957301416133</v>
      </c>
      <c r="R17">
        <v>13</v>
      </c>
      <c r="S17">
        <v>5796.5168138879699</v>
      </c>
      <c r="T17">
        <v>4881.2773169582897</v>
      </c>
      <c r="U17">
        <v>4684.0539910205798</v>
      </c>
      <c r="V17">
        <v>4746.3364895514296</v>
      </c>
      <c r="W17">
        <v>3996.9149385696201</v>
      </c>
      <c r="X17">
        <v>3835.42342590014</v>
      </c>
      <c r="Y17" s="133">
        <f t="shared" si="3"/>
        <v>-0.19191919191919227</v>
      </c>
      <c r="Z17" s="133">
        <f t="shared" si="4"/>
        <v>-0.18117437731231978</v>
      </c>
      <c r="AA17" s="133">
        <f t="shared" si="5"/>
        <v>-0.33832272914126871</v>
      </c>
      <c r="AO17">
        <v>13</v>
      </c>
      <c r="AP17" s="5">
        <f t="shared" si="6"/>
        <v>4561.8824982487686</v>
      </c>
      <c r="AQ17" s="5">
        <f t="shared" si="7"/>
        <v>3735.3862772565822</v>
      </c>
      <c r="AR17" s="5"/>
      <c r="AS17" s="5"/>
      <c r="AT17" s="5"/>
      <c r="AU17" s="5"/>
      <c r="AV17" s="5"/>
      <c r="AW17" s="5">
        <f t="shared" si="8"/>
        <v>1520.6274994162563</v>
      </c>
      <c r="AX17" s="157">
        <f t="shared" si="9"/>
        <v>1245.1287590855275</v>
      </c>
    </row>
    <row r="18" spans="2:50" x14ac:dyDescent="0.2">
      <c r="D18">
        <v>296111.7</v>
      </c>
      <c r="E18">
        <v>14</v>
      </c>
      <c r="F18">
        <v>1868.8160764450899</v>
      </c>
      <c r="G18">
        <v>1401.6120573338201</v>
      </c>
      <c r="H18">
        <v>1281.47388099092</v>
      </c>
      <c r="I18">
        <v>1449.2211522278701</v>
      </c>
      <c r="J18">
        <v>1086.9158641709</v>
      </c>
      <c r="K18">
        <v>993.75164724196895</v>
      </c>
      <c r="M18" s="133">
        <f t="shared" si="10"/>
        <v>-0.31428571428571372</v>
      </c>
      <c r="N18" s="133">
        <f t="shared" si="0"/>
        <v>-0.22452446204090026</v>
      </c>
      <c r="O18" s="133">
        <f t="shared" si="1"/>
        <v>-0.41839334653067661</v>
      </c>
      <c r="P18" s="133">
        <f t="shared" si="2"/>
        <v>-0.46824534539947404</v>
      </c>
      <c r="R18">
        <v>14</v>
      </c>
      <c r="S18">
        <v>5606.4482293352603</v>
      </c>
      <c r="T18">
        <v>4721.2195615454802</v>
      </c>
      <c r="U18">
        <v>4530.4632156244497</v>
      </c>
      <c r="V18">
        <v>4347.6634566836101</v>
      </c>
      <c r="W18">
        <v>3661.19027931252</v>
      </c>
      <c r="X18">
        <v>3513.2633993402901</v>
      </c>
      <c r="Y18" s="133">
        <f t="shared" si="3"/>
        <v>-0.19191919191919249</v>
      </c>
      <c r="Z18" s="133">
        <f t="shared" si="4"/>
        <v>-0.22452446204089871</v>
      </c>
      <c r="AA18" s="133">
        <f t="shared" si="5"/>
        <v>-0.37335310063911042</v>
      </c>
      <c r="AO18">
        <v>14</v>
      </c>
      <c r="AP18" s="5">
        <f t="shared" si="6"/>
        <v>1660.1349161504538</v>
      </c>
      <c r="AQ18" s="5">
        <f t="shared" si="7"/>
        <v>1287.3940171864604</v>
      </c>
      <c r="AR18" s="5"/>
      <c r="AS18" s="5"/>
      <c r="AT18" s="5"/>
      <c r="AU18" s="5"/>
      <c r="AV18" s="5"/>
      <c r="AW18" s="5">
        <f t="shared" si="8"/>
        <v>553.37830538348555</v>
      </c>
      <c r="AX18" s="157">
        <f t="shared" si="9"/>
        <v>429.13133906215342</v>
      </c>
    </row>
    <row r="19" spans="2:50" x14ac:dyDescent="0.2">
      <c r="D19">
        <v>220176</v>
      </c>
      <c r="E19">
        <v>15</v>
      </c>
      <c r="F19">
        <v>882.43539730345901</v>
      </c>
      <c r="G19">
        <v>661.82654797759403</v>
      </c>
      <c r="H19">
        <v>605.09855815094295</v>
      </c>
      <c r="I19">
        <v>597.2616396551</v>
      </c>
      <c r="J19">
        <v>447.946229741325</v>
      </c>
      <c r="K19">
        <v>409.55083862063998</v>
      </c>
      <c r="M19" s="133">
        <f t="shared" si="10"/>
        <v>-0.31428571428571472</v>
      </c>
      <c r="N19" s="133">
        <f t="shared" si="0"/>
        <v>-0.32316672531472668</v>
      </c>
      <c r="O19" s="133">
        <f t="shared" si="1"/>
        <v>-0.49237504398604537</v>
      </c>
      <c r="P19" s="133">
        <f t="shared" si="2"/>
        <v>-0.5358857545015272</v>
      </c>
      <c r="R19">
        <v>15</v>
      </c>
      <c r="S19">
        <v>2647.3061919103802</v>
      </c>
      <c r="T19">
        <v>2229.31047739821</v>
      </c>
      <c r="U19">
        <v>2139.2373267962598</v>
      </c>
      <c r="V19">
        <v>1791.7849189653</v>
      </c>
      <c r="W19">
        <v>1508.87151070762</v>
      </c>
      <c r="X19">
        <v>1447.9070052244799</v>
      </c>
      <c r="Y19" s="133">
        <f t="shared" si="3"/>
        <v>-0.1919191919191946</v>
      </c>
      <c r="Z19" s="133">
        <f t="shared" si="4"/>
        <v>-0.32316672531472801</v>
      </c>
      <c r="AA19" s="133">
        <f t="shared" si="5"/>
        <v>-0.45306402045634764</v>
      </c>
      <c r="AO19">
        <v>15</v>
      </c>
      <c r="AP19" s="5">
        <f t="shared" si="6"/>
        <v>582.87328811005989</v>
      </c>
      <c r="AQ19" s="5">
        <f t="shared" si="7"/>
        <v>394.5080363181039</v>
      </c>
      <c r="AR19" s="5"/>
      <c r="AS19" s="5"/>
      <c r="AT19" s="5"/>
      <c r="AU19" s="5"/>
      <c r="AV19" s="5"/>
      <c r="AW19" s="5">
        <f t="shared" si="8"/>
        <v>194.29109603668638</v>
      </c>
      <c r="AX19" s="157">
        <f t="shared" si="9"/>
        <v>131.5026787727013</v>
      </c>
    </row>
    <row r="20" spans="2:50" x14ac:dyDescent="0.2">
      <c r="D20">
        <v>220551.3</v>
      </c>
      <c r="E20">
        <v>16</v>
      </c>
      <c r="F20">
        <v>5118.1733965211697</v>
      </c>
      <c r="G20">
        <v>3838.63004739088</v>
      </c>
      <c r="H20">
        <v>3509.6046147573702</v>
      </c>
      <c r="I20">
        <v>4456.1632315162597</v>
      </c>
      <c r="J20">
        <v>3342.12242363719</v>
      </c>
      <c r="K20">
        <v>3055.6547873254299</v>
      </c>
      <c r="M20" s="133">
        <f t="shared" si="10"/>
        <v>-0.31428571428571495</v>
      </c>
      <c r="N20" s="133">
        <f t="shared" si="0"/>
        <v>-0.12934500528154891</v>
      </c>
      <c r="O20" s="133">
        <f t="shared" si="1"/>
        <v>-0.34700875396116204</v>
      </c>
      <c r="P20" s="133">
        <f t="shared" si="2"/>
        <v>-0.40297943219306265</v>
      </c>
      <c r="R20">
        <v>16</v>
      </c>
      <c r="S20">
        <v>15354.5201895635</v>
      </c>
      <c r="T20">
        <v>12930.122264895601</v>
      </c>
      <c r="U20">
        <v>12407.6930824756</v>
      </c>
      <c r="V20">
        <v>13368.4896945488</v>
      </c>
      <c r="W20">
        <v>11257.6755322516</v>
      </c>
      <c r="X20">
        <v>10802.8199551909</v>
      </c>
      <c r="Y20" s="133">
        <f t="shared" si="3"/>
        <v>-0.19191919191918905</v>
      </c>
      <c r="Z20" s="133">
        <f t="shared" si="4"/>
        <v>-0.12934500528155335</v>
      </c>
      <c r="AA20" s="133">
        <f t="shared" si="5"/>
        <v>-0.29644040830832341</v>
      </c>
      <c r="AO20">
        <v>16</v>
      </c>
      <c r="AP20" s="5">
        <f t="shared" si="6"/>
        <v>3386.4593886844764</v>
      </c>
      <c r="AQ20" s="5">
        <f t="shared" si="7"/>
        <v>2948.4377811693407</v>
      </c>
      <c r="AR20" s="5"/>
      <c r="AS20" s="5"/>
      <c r="AT20" s="5"/>
      <c r="AU20" s="5"/>
      <c r="AV20" s="5"/>
      <c r="AW20" s="5">
        <f t="shared" si="8"/>
        <v>1128.8197962281595</v>
      </c>
      <c r="AX20" s="157">
        <f t="shared" si="9"/>
        <v>982.81259372311195</v>
      </c>
    </row>
    <row r="23" spans="2:50" x14ac:dyDescent="0.2">
      <c r="R23" t="s">
        <v>264</v>
      </c>
    </row>
    <row r="24" spans="2:50" x14ac:dyDescent="0.2">
      <c r="D24" t="s">
        <v>263</v>
      </c>
      <c r="E24" s="145">
        <v>2018</v>
      </c>
      <c r="F24" s="145" t="s">
        <v>261</v>
      </c>
      <c r="G24" s="145"/>
      <c r="H24" s="145"/>
      <c r="I24" s="145"/>
      <c r="J24" s="145"/>
      <c r="S24" t="s">
        <v>287</v>
      </c>
      <c r="T24" t="s">
        <v>280</v>
      </c>
      <c r="U24" t="s">
        <v>279</v>
      </c>
      <c r="V24" t="s">
        <v>307</v>
      </c>
      <c r="W24" t="s">
        <v>308</v>
      </c>
      <c r="X24" t="s">
        <v>281</v>
      </c>
      <c r="Y24" t="s">
        <v>309</v>
      </c>
      <c r="AC24" t="s">
        <v>283</v>
      </c>
      <c r="AD24" t="str">
        <f>T24</f>
        <v>Mod EE</v>
      </c>
      <c r="AE24" t="str">
        <f>U24</f>
        <v>Agg EE</v>
      </c>
      <c r="AF24" t="str">
        <f>V24</f>
        <v>No EE (With CC)</v>
      </c>
      <c r="AG24" t="str">
        <f>W24</f>
        <v>Mod EE (With CC)</v>
      </c>
      <c r="AH24" t="str">
        <f>Y24</f>
        <v>Agg EE (With CC)</v>
      </c>
      <c r="AP24" t="s">
        <v>328</v>
      </c>
    </row>
    <row r="25" spans="2:50" x14ac:dyDescent="0.2">
      <c r="R25" t="s">
        <v>271</v>
      </c>
      <c r="S25" s="5">
        <f>$B$3*SUMPRODUCT(S5:S20,$D$5:$D$20)/10^6</f>
        <v>38705.382022968894</v>
      </c>
      <c r="T25" s="5">
        <f>$B$3*SUMPRODUCT(T5:T20,$D$5:$D$20)/10^6</f>
        <v>32594.005914079091</v>
      </c>
      <c r="U25" s="5">
        <f>$B$3*SUMPRODUCT(U5:U20,$D$5:$D$20)/10^6</f>
        <v>31277.07638219709</v>
      </c>
      <c r="V25" s="5">
        <f>$B$3*SUMPRODUCT(V5:V20,$D$5:$D$20)/10^6</f>
        <v>30015.32652426853</v>
      </c>
      <c r="W25" s="5">
        <f>$B$3*SUMPRODUCT(W5:W20,$D$5:$D$20)/10^6</f>
        <v>25276.064441489299</v>
      </c>
      <c r="X25" s="5">
        <f>W25</f>
        <v>25276.064441489299</v>
      </c>
      <c r="Y25" s="5">
        <f>$B$3*SUMPRODUCT(X5:X20,$D$5:$D$20)/10^6</f>
        <v>24254.809312540234</v>
      </c>
      <c r="Z25" s="133">
        <f>(Y25/S25)-1</f>
        <v>-0.37334789001315816</v>
      </c>
      <c r="AB25" t="s">
        <v>277</v>
      </c>
      <c r="AC25" s="5">
        <f t="shared" ref="AC25:AH25" si="11">S25/29.3</f>
        <v>1321.0027994187335</v>
      </c>
      <c r="AD25" s="5">
        <f t="shared" si="11"/>
        <v>1112.423410036829</v>
      </c>
      <c r="AE25" s="5">
        <f t="shared" si="11"/>
        <v>1067.4770096313</v>
      </c>
      <c r="AF25" s="5">
        <f t="shared" si="11"/>
        <v>1024.413874548414</v>
      </c>
      <c r="AG25" s="5">
        <f t="shared" si="11"/>
        <v>862.66431540919109</v>
      </c>
      <c r="AH25" s="5">
        <f t="shared" si="11"/>
        <v>862.66431540919109</v>
      </c>
      <c r="AP25" t="s">
        <v>282</v>
      </c>
      <c r="AQ25" t="s">
        <v>330</v>
      </c>
    </row>
    <row r="26" spans="2:50" x14ac:dyDescent="0.2">
      <c r="F26" t="s">
        <v>282</v>
      </c>
      <c r="G26" t="s">
        <v>257</v>
      </c>
      <c r="H26" t="s">
        <v>256</v>
      </c>
      <c r="I26" t="s">
        <v>276</v>
      </c>
      <c r="J26" t="s">
        <v>273</v>
      </c>
      <c r="K26" t="s">
        <v>259</v>
      </c>
      <c r="R26" t="s">
        <v>272</v>
      </c>
      <c r="S26" s="7">
        <f>S25/29.3</f>
        <v>1321.0027994187335</v>
      </c>
      <c r="T26" s="7">
        <f>T25/29.3</f>
        <v>1112.423410036829</v>
      </c>
      <c r="U26" s="7">
        <f>U25/29.3</f>
        <v>1067.4770096313</v>
      </c>
      <c r="V26" s="7">
        <f>V25/29.3</f>
        <v>1024.413874548414</v>
      </c>
      <c r="W26" s="7">
        <f>W25/29.3</f>
        <v>862.66431540919109</v>
      </c>
      <c r="X26" s="7">
        <f>W26</f>
        <v>862.66431540919109</v>
      </c>
      <c r="Y26" s="7">
        <f>Y25/29.3</f>
        <v>827.80919155427421</v>
      </c>
      <c r="Z26" s="133">
        <f>(Y26/S26)-1</f>
        <v>-0.37334789001315816</v>
      </c>
      <c r="AB26" t="s">
        <v>278</v>
      </c>
      <c r="AC26" s="5">
        <f t="shared" ref="AC26:AH26" si="12">S27</f>
        <v>12901.794007656297</v>
      </c>
      <c r="AD26" s="5">
        <f t="shared" si="12"/>
        <v>9676.3455057422234</v>
      </c>
      <c r="AE26" s="5">
        <f t="shared" si="12"/>
        <v>8846.9444623928903</v>
      </c>
      <c r="AF26" s="5">
        <f t="shared" si="12"/>
        <v>10005.108841422838</v>
      </c>
      <c r="AG26" s="5">
        <f t="shared" si="12"/>
        <v>7503.8316310671298</v>
      </c>
      <c r="AH26" s="5">
        <f t="shared" si="12"/>
        <v>7503.8316310671298</v>
      </c>
      <c r="AP26" t="s">
        <v>329</v>
      </c>
    </row>
    <row r="27" spans="2:50" x14ac:dyDescent="0.2">
      <c r="D27">
        <v>6713.7</v>
      </c>
      <c r="E27">
        <v>1</v>
      </c>
      <c r="F27">
        <v>35.643334626551599</v>
      </c>
      <c r="G27">
        <v>31.869334489622599</v>
      </c>
      <c r="H27">
        <v>20.215622624014301</v>
      </c>
      <c r="I27">
        <v>71.474089317662404</v>
      </c>
      <c r="J27">
        <v>63.906244566380501</v>
      </c>
      <c r="K27">
        <v>40.537543195092098</v>
      </c>
      <c r="L27" s="133">
        <f>(G27/F27)-1</f>
        <v>-0.10588235294117665</v>
      </c>
      <c r="M27" s="133">
        <f>(H27/F27)-1</f>
        <v>-0.43283582089552353</v>
      </c>
      <c r="N27" s="133">
        <f>(K27/H27)-1</f>
        <v>1.0052582079236689</v>
      </c>
      <c r="O27" s="133">
        <f t="shared" ref="O27:O42" si="13">(K27/F27)-1</f>
        <v>0.13731062538954153</v>
      </c>
      <c r="R27" t="s">
        <v>269</v>
      </c>
      <c r="S27" s="5">
        <f>$B$3*SUMPRODUCT(F5:F20,$D$5:$D$20)/10^6</f>
        <v>12901.794007656297</v>
      </c>
      <c r="T27" s="5">
        <f>$B$3*SUMPRODUCT(G5:G20,$D$5:$D$20)/10^6</f>
        <v>9676.3455057422234</v>
      </c>
      <c r="U27" s="5">
        <f>$B$3*SUMPRODUCT(H5:H20,$D$5:$D$20)/10^6</f>
        <v>8846.9444623928903</v>
      </c>
      <c r="V27" s="5">
        <f>$B$3*SUMPRODUCT(I5:I20,$D$5:$D$20)/10^6</f>
        <v>10005.108841422838</v>
      </c>
      <c r="W27" s="5">
        <f>$B$3*SUMPRODUCT(J5:J20,$D$5:$D$20)/10^6</f>
        <v>7503.8316310671298</v>
      </c>
      <c r="X27" s="5">
        <f>W27</f>
        <v>7503.8316310671298</v>
      </c>
      <c r="Y27" s="5">
        <f>$B$3*SUMPRODUCT(K5:K20,$D$5:$D$20)/10^6</f>
        <v>6860.6460626899516</v>
      </c>
      <c r="Z27" s="133">
        <f>(Y27/S27)-1</f>
        <v>-0.46824092381116567</v>
      </c>
      <c r="AB27" t="s">
        <v>212</v>
      </c>
      <c r="AC27" s="5">
        <f t="shared" ref="AC27:AH27" si="14">S29</f>
        <v>2729.5455279501944</v>
      </c>
      <c r="AD27" s="5">
        <f t="shared" si="14"/>
        <v>2440.5348249907638</v>
      </c>
      <c r="AE27" s="5">
        <f t="shared" si="14"/>
        <v>1548.10044868817</v>
      </c>
      <c r="AF27" s="5">
        <f t="shared" si="14"/>
        <v>3666.1450178098789</v>
      </c>
      <c r="AG27" s="5">
        <f t="shared" si="14"/>
        <v>3277.9649571006039</v>
      </c>
      <c r="AH27" s="5">
        <f t="shared" si="14"/>
        <v>4261.3544442307848</v>
      </c>
      <c r="AK27" s="133"/>
      <c r="AO27">
        <v>1</v>
      </c>
      <c r="AP27" s="155">
        <f>F27*$D27/10^6</f>
        <v>0.23929865568227945</v>
      </c>
      <c r="AQ27" s="149">
        <f>I27*$D27/10^6</f>
        <v>0.47985559345199003</v>
      </c>
    </row>
    <row r="28" spans="2:50" x14ac:dyDescent="0.2">
      <c r="D28">
        <v>34207.9</v>
      </c>
      <c r="E28">
        <v>2</v>
      </c>
      <c r="F28">
        <v>244.442440296911</v>
      </c>
      <c r="G28">
        <v>218.56029955959099</v>
      </c>
      <c r="H28">
        <v>138.63899598929299</v>
      </c>
      <c r="I28">
        <v>387.642900769645</v>
      </c>
      <c r="J28">
        <v>346.59835833521203</v>
      </c>
      <c r="K28">
        <v>219.857167600694</v>
      </c>
      <c r="L28" s="133">
        <f t="shared" ref="L28:L42" si="15">(G28/F28)-1</f>
        <v>-0.10588235294117654</v>
      </c>
      <c r="M28" s="133">
        <f t="shared" ref="M28:M42" si="16">(H28/F28)-1</f>
        <v>-0.43283582089552164</v>
      </c>
      <c r="N28" s="133">
        <f t="shared" ref="N28:N42" si="17">(K28/H28)-1</f>
        <v>0.58582486862263083</v>
      </c>
      <c r="O28" s="133">
        <f t="shared" si="13"/>
        <v>-0.1005769401841784</v>
      </c>
      <c r="AO28">
        <v>2</v>
      </c>
      <c r="AP28" s="155">
        <f t="shared" ref="AP28:AP42" si="18">F28*$D28/10^6</f>
        <v>8.3618625534327027</v>
      </c>
      <c r="AQ28" s="149">
        <f t="shared" ref="AQ28:AQ42" si="19">I28*$D28/10^6</f>
        <v>13.260449585237939</v>
      </c>
    </row>
    <row r="29" spans="2:50" x14ac:dyDescent="0.2">
      <c r="B29">
        <f>G29*0.175*1.02^2</f>
        <v>15.927575006484211</v>
      </c>
      <c r="D29">
        <v>140932.1</v>
      </c>
      <c r="E29">
        <v>3</v>
      </c>
      <c r="F29">
        <v>97.840035176693107</v>
      </c>
      <c r="G29">
        <v>87.480502040337299</v>
      </c>
      <c r="H29">
        <v>55.491363234542298</v>
      </c>
      <c r="I29">
        <v>196.60278148515201</v>
      </c>
      <c r="J29">
        <v>175.78601638672399</v>
      </c>
      <c r="K29">
        <v>111.506055170683</v>
      </c>
      <c r="L29" s="133">
        <f t="shared" si="15"/>
        <v>-0.1058823529411772</v>
      </c>
      <c r="M29" s="133">
        <f t="shared" si="16"/>
        <v>-0.43283582089552297</v>
      </c>
      <c r="N29" s="133">
        <f t="shared" si="17"/>
        <v>1.0094308135733931</v>
      </c>
      <c r="O29" s="133">
        <f t="shared" si="13"/>
        <v>0.1396771778475947</v>
      </c>
      <c r="R29" t="s">
        <v>270</v>
      </c>
      <c r="S29" s="5">
        <f>$B$3*SUMPRODUCT(F27:F42,$D$27:$D$42)/10^6</f>
        <v>2729.5455279501944</v>
      </c>
      <c r="T29" s="5">
        <f>$B$3*SUMPRODUCT(G27:G42,$D$27:$D$42)/10^6</f>
        <v>2440.5348249907638</v>
      </c>
      <c r="U29" s="5">
        <f>$B$3*SUMPRODUCT(H27:H42,$D$27:$D$42)/10^6</f>
        <v>1548.10044868817</v>
      </c>
      <c r="V29" s="5">
        <f>$B$3*SUMPRODUCT(I27:I42,$D$27:$D$42)/10^6</f>
        <v>3666.1450178098789</v>
      </c>
      <c r="W29" s="5">
        <f>$B$3*SUMPRODUCT(J27:J42,$D$27:$D$42)/10^6</f>
        <v>3277.9649571006039</v>
      </c>
      <c r="X29" s="5">
        <f>W29*1.3</f>
        <v>4261.3544442307848</v>
      </c>
      <c r="Y29" s="5">
        <f>$B$3*SUMPRODUCT(K27:K42,$D$27:$D$42)/10^6</f>
        <v>2079.3061295041139</v>
      </c>
      <c r="Z29" s="133">
        <f>(Y29/S29)-1</f>
        <v>-0.23822258752884418</v>
      </c>
      <c r="AB29" s="9"/>
      <c r="AO29">
        <v>3</v>
      </c>
      <c r="AP29" s="155">
        <f t="shared" si="18"/>
        <v>13.788801621525232</v>
      </c>
      <c r="AQ29" s="149">
        <f t="shared" si="19"/>
        <v>27.707642860543594</v>
      </c>
    </row>
    <row r="30" spans="2:50" x14ac:dyDescent="0.2">
      <c r="D30">
        <v>73989.7</v>
      </c>
      <c r="E30">
        <v>4</v>
      </c>
      <c r="F30">
        <v>376.955603023891</v>
      </c>
      <c r="G30">
        <v>337.04265682136099</v>
      </c>
      <c r="H30">
        <v>213.79571514787801</v>
      </c>
      <c r="I30">
        <v>575.66634141529505</v>
      </c>
      <c r="J30">
        <v>514.71343467720499</v>
      </c>
      <c r="K30">
        <v>326.49732796688397</v>
      </c>
      <c r="L30" s="133">
        <f t="shared" si="15"/>
        <v>-0.10588235294117743</v>
      </c>
      <c r="M30" s="133">
        <f t="shared" si="16"/>
        <v>-0.43283582089552364</v>
      </c>
      <c r="N30" s="133">
        <f t="shared" si="17"/>
        <v>0.52714626549485621</v>
      </c>
      <c r="O30" s="133">
        <f t="shared" si="13"/>
        <v>-0.13385734195814314</v>
      </c>
      <c r="AO30">
        <v>4</v>
      </c>
      <c r="AP30" s="155">
        <f t="shared" si="18"/>
        <v>27.890831981056788</v>
      </c>
      <c r="AQ30" s="149">
        <f t="shared" si="19"/>
        <v>42.593379901415254</v>
      </c>
    </row>
    <row r="31" spans="2:50" x14ac:dyDescent="0.2">
      <c r="D31">
        <v>17305.5</v>
      </c>
      <c r="E31">
        <v>5</v>
      </c>
      <c r="F31">
        <v>92.863982186631404</v>
      </c>
      <c r="G31">
        <v>83.0313252492234</v>
      </c>
      <c r="H31">
        <v>52.669124225253597</v>
      </c>
      <c r="I31">
        <v>195.69134597583499</v>
      </c>
      <c r="J31">
        <v>174.97108581368701</v>
      </c>
      <c r="K31">
        <v>110.98912159823399</v>
      </c>
      <c r="L31" s="133">
        <f t="shared" si="15"/>
        <v>-0.10588235294117621</v>
      </c>
      <c r="M31" s="133">
        <f t="shared" si="16"/>
        <v>-0.43283582089552275</v>
      </c>
      <c r="N31" s="133">
        <f t="shared" si="17"/>
        <v>1.1072900533443337</v>
      </c>
      <c r="O31" s="133">
        <f t="shared" si="13"/>
        <v>0.19517943324006914</v>
      </c>
      <c r="R31" t="s">
        <v>274</v>
      </c>
      <c r="S31" s="7">
        <f>S25+S29</f>
        <v>41434.927550919085</v>
      </c>
      <c r="T31" s="7">
        <f t="shared" ref="T31:Y31" si="20">T25+T29</f>
        <v>35034.540739069853</v>
      </c>
      <c r="U31" s="7">
        <f t="shared" si="20"/>
        <v>32825.176830885262</v>
      </c>
      <c r="V31" s="7">
        <f>V25+V29</f>
        <v>33681.471542078412</v>
      </c>
      <c r="W31" s="7">
        <f t="shared" si="20"/>
        <v>28554.029398589904</v>
      </c>
      <c r="X31" s="7">
        <f>X25+X29</f>
        <v>29537.418885720086</v>
      </c>
      <c r="Y31" s="7">
        <f t="shared" si="20"/>
        <v>26334.115442044349</v>
      </c>
      <c r="Z31" s="7"/>
      <c r="AK31" s="100" t="s">
        <v>302</v>
      </c>
      <c r="AL31" s="100" t="s">
        <v>303</v>
      </c>
      <c r="AM31" s="100" t="s">
        <v>304</v>
      </c>
      <c r="AO31">
        <v>5</v>
      </c>
      <c r="AP31" s="155">
        <f t="shared" si="18"/>
        <v>1.6070576437307498</v>
      </c>
      <c r="AQ31" s="149">
        <f t="shared" si="19"/>
        <v>3.3865365877848124</v>
      </c>
    </row>
    <row r="32" spans="2:50" x14ac:dyDescent="0.2">
      <c r="D32">
        <v>534177</v>
      </c>
      <c r="E32">
        <v>6</v>
      </c>
      <c r="F32">
        <v>394.04097604908299</v>
      </c>
      <c r="G32">
        <v>352.318990349768</v>
      </c>
      <c r="H32">
        <v>223.485926714405</v>
      </c>
      <c r="I32">
        <v>607.56064508429199</v>
      </c>
      <c r="J32">
        <v>543.23069442830797</v>
      </c>
      <c r="K32">
        <v>344.58663452541902</v>
      </c>
      <c r="L32" s="133">
        <f t="shared" si="15"/>
        <v>-0.10588235294117732</v>
      </c>
      <c r="M32" s="133">
        <f t="shared" si="16"/>
        <v>-0.43283582089552308</v>
      </c>
      <c r="N32" s="133">
        <f t="shared" si="17"/>
        <v>0.54187173926960464</v>
      </c>
      <c r="O32" s="133">
        <f t="shared" si="13"/>
        <v>-0.12550558071276263</v>
      </c>
      <c r="R32" t="s">
        <v>275</v>
      </c>
      <c r="S32" s="7">
        <f>S27+S29</f>
        <v>15631.339535606492</v>
      </c>
      <c r="T32" s="7">
        <f t="shared" ref="T32:Y32" si="21">T27+T29</f>
        <v>12116.880330732987</v>
      </c>
      <c r="U32" s="7">
        <f t="shared" si="21"/>
        <v>10395.04491108106</v>
      </c>
      <c r="V32" s="7">
        <f>V27+V29</f>
        <v>13671.253859232716</v>
      </c>
      <c r="W32" s="7">
        <f t="shared" si="21"/>
        <v>10781.796588167734</v>
      </c>
      <c r="X32" s="7">
        <f>X27+X29</f>
        <v>11765.186075297916</v>
      </c>
      <c r="Y32" s="7">
        <f t="shared" si="21"/>
        <v>8939.952192194065</v>
      </c>
      <c r="Z32" s="7"/>
      <c r="AO32">
        <v>6</v>
      </c>
      <c r="AP32" s="155">
        <f t="shared" si="18"/>
        <v>210.48762646297101</v>
      </c>
      <c r="AQ32" s="149">
        <f t="shared" si="19"/>
        <v>324.54492270919184</v>
      </c>
    </row>
    <row r="33" spans="4:43" x14ac:dyDescent="0.2">
      <c r="D33">
        <v>418181.5</v>
      </c>
      <c r="E33">
        <v>7</v>
      </c>
      <c r="F33">
        <v>583.21814983526394</v>
      </c>
      <c r="G33">
        <v>521.46563985270598</v>
      </c>
      <c r="H33">
        <v>330.78044319014998</v>
      </c>
      <c r="I33">
        <v>828.23433116980505</v>
      </c>
      <c r="J33">
        <v>740.53893139888396</v>
      </c>
      <c r="K33">
        <v>469.74484454406797</v>
      </c>
      <c r="L33" s="133">
        <f t="shared" si="15"/>
        <v>-0.10588235294117754</v>
      </c>
      <c r="M33" s="133">
        <f t="shared" si="16"/>
        <v>-0.43283582089552186</v>
      </c>
      <c r="N33" s="133">
        <f t="shared" si="17"/>
        <v>0.42011069340648399</v>
      </c>
      <c r="O33" s="133">
        <f t="shared" si="13"/>
        <v>-0.19456408433662031</v>
      </c>
      <c r="AJ33" t="s">
        <v>305</v>
      </c>
      <c r="AK33">
        <v>0.8</v>
      </c>
      <c r="AL33">
        <v>2.4</v>
      </c>
      <c r="AM33">
        <v>3.8</v>
      </c>
      <c r="AO33">
        <v>7</v>
      </c>
      <c r="AP33" s="155">
        <f t="shared" si="18"/>
        <v>243.89104072533542</v>
      </c>
      <c r="AQ33" s="149">
        <f t="shared" si="19"/>
        <v>346.35227496008582</v>
      </c>
    </row>
    <row r="34" spans="4:43" x14ac:dyDescent="0.2">
      <c r="D34">
        <v>860132</v>
      </c>
      <c r="E34">
        <v>8</v>
      </c>
      <c r="F34">
        <v>658.58197786348603</v>
      </c>
      <c r="G34">
        <v>588.84976844264702</v>
      </c>
      <c r="H34">
        <v>373.524106847947</v>
      </c>
      <c r="I34">
        <v>935.51489469697594</v>
      </c>
      <c r="J34">
        <v>836.46037643494299</v>
      </c>
      <c r="K34">
        <v>530.590537290822</v>
      </c>
      <c r="L34" s="133">
        <f t="shared" si="15"/>
        <v>-0.10588235294117543</v>
      </c>
      <c r="M34" s="133">
        <f t="shared" si="16"/>
        <v>-0.43283582089552286</v>
      </c>
      <c r="N34" s="133">
        <f t="shared" si="17"/>
        <v>0.42049877789230106</v>
      </c>
      <c r="O34" s="133">
        <f t="shared" si="13"/>
        <v>-0.19434397671780002</v>
      </c>
      <c r="R34" t="s">
        <v>274</v>
      </c>
      <c r="T34" s="147">
        <f t="shared" ref="T34:W35" si="22">(T31/$S31)-1</f>
        <v>-0.15446839635435206</v>
      </c>
      <c r="U34" s="147">
        <f t="shared" si="22"/>
        <v>-0.20778968925318775</v>
      </c>
      <c r="V34" s="147">
        <f t="shared" si="22"/>
        <v>-0.18712367722406431</v>
      </c>
      <c r="W34" s="147">
        <f t="shared" si="22"/>
        <v>-0.31087053637296547</v>
      </c>
      <c r="X34" s="147"/>
      <c r="Y34" s="147">
        <f>(Y31/$S31)-1</f>
        <v>-0.36444644654723857</v>
      </c>
      <c r="AO34">
        <v>8</v>
      </c>
      <c r="AP34" s="155">
        <f t="shared" si="18"/>
        <v>566.46743378367592</v>
      </c>
      <c r="AQ34" s="149">
        <f t="shared" si="19"/>
        <v>804.66629740549934</v>
      </c>
    </row>
    <row r="35" spans="4:43" x14ac:dyDescent="0.2">
      <c r="D35">
        <v>1111305</v>
      </c>
      <c r="E35">
        <v>9</v>
      </c>
      <c r="F35">
        <v>795.30458032131105</v>
      </c>
      <c r="G35">
        <v>711.09586005199503</v>
      </c>
      <c r="H35">
        <v>451.06826943596701</v>
      </c>
      <c r="I35">
        <v>1121.40583671474</v>
      </c>
      <c r="J35">
        <v>1002.66874812142</v>
      </c>
      <c r="K35">
        <v>636.02122082328799</v>
      </c>
      <c r="L35" s="133">
        <f t="shared" si="15"/>
        <v>-0.10588235294117743</v>
      </c>
      <c r="M35" s="133">
        <f t="shared" si="16"/>
        <v>-0.43283582089552297</v>
      </c>
      <c r="N35" s="133">
        <f t="shared" si="17"/>
        <v>0.41003316774774068</v>
      </c>
      <c r="O35" s="133">
        <f t="shared" si="13"/>
        <v>-0.2002796959042672</v>
      </c>
      <c r="R35" t="s">
        <v>275</v>
      </c>
      <c r="T35" s="147">
        <f t="shared" si="22"/>
        <v>-0.22483416708260662</v>
      </c>
      <c r="U35" s="147">
        <f t="shared" si="22"/>
        <v>-0.33498694162440279</v>
      </c>
      <c r="V35" s="147">
        <f t="shared" si="22"/>
        <v>-0.12539460689910253</v>
      </c>
      <c r="W35" s="147">
        <f t="shared" si="22"/>
        <v>-0.31024487289729885</v>
      </c>
      <c r="X35" s="147"/>
      <c r="Y35" s="147">
        <f>(Y32/$S32)-1</f>
        <v>-0.42807510694590023</v>
      </c>
      <c r="AO35">
        <v>9</v>
      </c>
      <c r="AP35" s="155">
        <f t="shared" si="18"/>
        <v>883.82595663397456</v>
      </c>
      <c r="AQ35" s="149">
        <f t="shared" si="19"/>
        <v>1246.223913370274</v>
      </c>
    </row>
    <row r="36" spans="4:43" ht="13" customHeight="1" x14ac:dyDescent="0.2">
      <c r="D36">
        <v>747125</v>
      </c>
      <c r="E36">
        <v>10</v>
      </c>
      <c r="F36">
        <v>951.66793333505098</v>
      </c>
      <c r="G36">
        <v>850.90309333486903</v>
      </c>
      <c r="H36">
        <v>539.75196219002896</v>
      </c>
      <c r="I36">
        <v>1254.10792556611</v>
      </c>
      <c r="J36">
        <v>1121.3200275649999</v>
      </c>
      <c r="K36">
        <v>711.28509211212395</v>
      </c>
      <c r="L36" s="133">
        <f t="shared" si="15"/>
        <v>-0.10588235294117654</v>
      </c>
      <c r="M36" s="133">
        <f t="shared" si="16"/>
        <v>-0.43283582089552231</v>
      </c>
      <c r="N36" s="133">
        <f t="shared" si="17"/>
        <v>0.31779991910748029</v>
      </c>
      <c r="O36" s="133">
        <f t="shared" si="13"/>
        <v>-0.25259109065545882</v>
      </c>
      <c r="AJ36" t="s">
        <v>306</v>
      </c>
      <c r="AO36">
        <v>10</v>
      </c>
      <c r="AP36" s="155">
        <f t="shared" si="18"/>
        <v>711.01490469295004</v>
      </c>
      <c r="AQ36" s="149">
        <f t="shared" si="19"/>
        <v>936.97538388857993</v>
      </c>
    </row>
    <row r="37" spans="4:43" x14ac:dyDescent="0.2">
      <c r="D37">
        <v>197936</v>
      </c>
      <c r="E37">
        <v>11</v>
      </c>
      <c r="F37">
        <v>985.22459641293506</v>
      </c>
      <c r="G37">
        <v>880.90669796921304</v>
      </c>
      <c r="H37">
        <v>558.78409945808301</v>
      </c>
      <c r="I37">
        <v>1259.25455360816</v>
      </c>
      <c r="J37">
        <v>1125.9217185202399</v>
      </c>
      <c r="K37">
        <v>714.20407518074705</v>
      </c>
      <c r="L37" s="133">
        <f t="shared" si="15"/>
        <v>-0.10588235294117598</v>
      </c>
      <c r="M37" s="133">
        <f t="shared" si="16"/>
        <v>-0.43283582089552197</v>
      </c>
      <c r="N37" s="133">
        <f t="shared" si="17"/>
        <v>0.27813958176940368</v>
      </c>
      <c r="O37" s="133">
        <f t="shared" si="13"/>
        <v>-0.27508501332481528</v>
      </c>
      <c r="AJ37" t="s">
        <v>280</v>
      </c>
      <c r="AK37">
        <v>0.95</v>
      </c>
      <c r="AL37">
        <v>3.5</v>
      </c>
      <c r="AM37">
        <v>4.25</v>
      </c>
      <c r="AO37">
        <v>11</v>
      </c>
      <c r="AP37" s="155">
        <f t="shared" si="18"/>
        <v>195.01141571559072</v>
      </c>
      <c r="AQ37" s="149">
        <f t="shared" si="19"/>
        <v>249.25180932298474</v>
      </c>
    </row>
    <row r="38" spans="4:43" x14ac:dyDescent="0.2">
      <c r="D38">
        <v>868889</v>
      </c>
      <c r="E38">
        <v>12</v>
      </c>
      <c r="F38">
        <v>890.28934977730398</v>
      </c>
      <c r="G38">
        <v>796.02341862441301</v>
      </c>
      <c r="H38">
        <v>504.94022823190397</v>
      </c>
      <c r="I38">
        <v>1169.0790037576901</v>
      </c>
      <c r="J38">
        <v>1045.2941680657</v>
      </c>
      <c r="K38">
        <v>663.05973347451197</v>
      </c>
      <c r="L38" s="133">
        <f t="shared" si="15"/>
        <v>-0.10588235294117643</v>
      </c>
      <c r="M38" s="133">
        <f t="shared" si="16"/>
        <v>-0.43283582089552219</v>
      </c>
      <c r="N38" s="133">
        <f t="shared" si="17"/>
        <v>0.31314499499530557</v>
      </c>
      <c r="O38" s="133">
        <f t="shared" si="13"/>
        <v>-0.25523119686833384</v>
      </c>
      <c r="Q38" t="s">
        <v>265</v>
      </c>
      <c r="AJ38" t="s">
        <v>301</v>
      </c>
      <c r="AK38">
        <v>0.99</v>
      </c>
      <c r="AL38">
        <v>3.5</v>
      </c>
      <c r="AM38">
        <v>6.7</v>
      </c>
      <c r="AO38">
        <v>12</v>
      </c>
      <c r="AP38" s="155">
        <f t="shared" si="18"/>
        <v>773.56262283865192</v>
      </c>
      <c r="AQ38" s="149">
        <f t="shared" si="19"/>
        <v>1015.7998864960156</v>
      </c>
    </row>
    <row r="39" spans="4:43" x14ac:dyDescent="0.2">
      <c r="D39">
        <v>437224.5</v>
      </c>
      <c r="E39">
        <v>13</v>
      </c>
      <c r="F39">
        <v>1195.1617364952299</v>
      </c>
      <c r="G39">
        <v>1068.61519968986</v>
      </c>
      <c r="H39">
        <v>677.85292517640096</v>
      </c>
      <c r="I39">
        <v>1502.85684128924</v>
      </c>
      <c r="J39">
        <v>1343.7308227997901</v>
      </c>
      <c r="K39">
        <v>852.36656670136097</v>
      </c>
      <c r="L39" s="133">
        <f t="shared" si="15"/>
        <v>-0.10588235294117032</v>
      </c>
      <c r="M39" s="133">
        <f t="shared" si="16"/>
        <v>-0.43283582089552075</v>
      </c>
      <c r="N39" s="133">
        <f t="shared" si="17"/>
        <v>0.25745059885895683</v>
      </c>
      <c r="O39" s="133">
        <f t="shared" si="13"/>
        <v>-0.28681906333372398</v>
      </c>
      <c r="R39" t="s">
        <v>267</v>
      </c>
      <c r="S39" s="5">
        <f t="shared" ref="S39:X39" si="23">SUMPRODUCT(S5:S20,$D$5:$D$20)/SUM($D$5:$D$20)</f>
        <v>5334.3525142670924</v>
      </c>
      <c r="T39" s="5">
        <f t="shared" si="23"/>
        <v>4492.0863278038696</v>
      </c>
      <c r="U39" s="5">
        <f t="shared" si="23"/>
        <v>4310.5878903168432</v>
      </c>
      <c r="V39" s="5">
        <f t="shared" si="23"/>
        <v>4136.694282367871</v>
      </c>
      <c r="W39" s="5">
        <f t="shared" si="23"/>
        <v>3483.5320272571553</v>
      </c>
      <c r="X39" s="5">
        <f t="shared" si="23"/>
        <v>3342.7832584790881</v>
      </c>
      <c r="Y39" s="5">
        <f>SUMPRODUCT(X5:X20,$D$5:$D$20)/SUM($D$5:$D$20)</f>
        <v>3342.7832584790881</v>
      </c>
      <c r="Z39" s="133">
        <f>(Y39/S39)-1</f>
        <v>-0.37334789001315816</v>
      </c>
      <c r="AO39">
        <v>13</v>
      </c>
      <c r="AP39" s="155">
        <f t="shared" si="18"/>
        <v>522.55399265825861</v>
      </c>
      <c r="AQ39" s="149">
        <f t="shared" si="19"/>
        <v>657.08583100426733</v>
      </c>
    </row>
    <row r="40" spans="4:43" x14ac:dyDescent="0.2">
      <c r="D40">
        <v>164506.5</v>
      </c>
      <c r="E40">
        <v>14</v>
      </c>
      <c r="F40">
        <v>1573.5160840676001</v>
      </c>
      <c r="G40">
        <v>1406.90849869573</v>
      </c>
      <c r="H40">
        <v>892.44195812788996</v>
      </c>
      <c r="I40">
        <v>1903.968789626</v>
      </c>
      <c r="J40">
        <v>1702.37209425383</v>
      </c>
      <c r="K40">
        <v>1079.86289560877</v>
      </c>
      <c r="L40" s="133">
        <f t="shared" si="15"/>
        <v>-0.10588235294118065</v>
      </c>
      <c r="M40" s="133">
        <f t="shared" si="16"/>
        <v>-0.43283582089552408</v>
      </c>
      <c r="N40" s="133">
        <f t="shared" si="17"/>
        <v>0.21000910566110109</v>
      </c>
      <c r="O40" s="133">
        <f t="shared" si="13"/>
        <v>-0.31372617887878052</v>
      </c>
      <c r="R40" t="s">
        <v>268</v>
      </c>
      <c r="S40" s="7">
        <f t="shared" ref="S40:Y40" si="24">S39/29.3</f>
        <v>182.05981277362091</v>
      </c>
      <c r="T40" s="7">
        <f t="shared" si="24"/>
        <v>153.31352654620716</v>
      </c>
      <c r="U40" s="7">
        <f t="shared" si="24"/>
        <v>147.11904062514822</v>
      </c>
      <c r="V40" s="7">
        <f t="shared" si="24"/>
        <v>141.18410520026862</v>
      </c>
      <c r="W40" s="7">
        <f t="shared" si="24"/>
        <v>118.89187806338414</v>
      </c>
      <c r="X40" s="7">
        <f t="shared" si="24"/>
        <v>114.08816581839891</v>
      </c>
      <c r="Y40" s="7">
        <f t="shared" si="24"/>
        <v>114.08816581839891</v>
      </c>
      <c r="Z40" s="133">
        <f>(Y40/S40)-1</f>
        <v>-0.37334789001315827</v>
      </c>
      <c r="AJ40" t="s">
        <v>316</v>
      </c>
      <c r="AO40">
        <v>14</v>
      </c>
      <c r="AP40" s="155">
        <f t="shared" si="18"/>
        <v>258.85362368366663</v>
      </c>
      <c r="AQ40" s="149">
        <f t="shared" si="19"/>
        <v>313.21524169060956</v>
      </c>
    </row>
    <row r="41" spans="4:43" x14ac:dyDescent="0.2">
      <c r="D41">
        <v>122320</v>
      </c>
      <c r="E41">
        <v>15</v>
      </c>
      <c r="F41">
        <v>2323.5887212837001</v>
      </c>
      <c r="G41">
        <v>2077.5616802066002</v>
      </c>
      <c r="H41">
        <v>1317.85628968329</v>
      </c>
      <c r="I41">
        <v>2710.6417794632498</v>
      </c>
      <c r="J41">
        <v>2423.63264987303</v>
      </c>
      <c r="K41">
        <v>1537.37891969558</v>
      </c>
      <c r="L41" s="133">
        <f t="shared" si="15"/>
        <v>-0.10588235294117743</v>
      </c>
      <c r="M41" s="133">
        <f t="shared" si="16"/>
        <v>-0.43283582089552353</v>
      </c>
      <c r="N41" s="133">
        <f t="shared" si="17"/>
        <v>0.16657554524784035</v>
      </c>
      <c r="O41" s="133">
        <f t="shared" si="13"/>
        <v>-0.33836013851615154</v>
      </c>
      <c r="R41" t="s">
        <v>266</v>
      </c>
      <c r="S41" s="5">
        <f t="shared" ref="S41:X41" si="25">SUMPRODUCT(F5:F20,$D$5:$D$20)/SUM($D$5:$D$20)</f>
        <v>1778.1175047556974</v>
      </c>
      <c r="T41" s="5">
        <f t="shared" si="25"/>
        <v>1333.5881285667731</v>
      </c>
      <c r="U41" s="5">
        <f t="shared" si="25"/>
        <v>1219.2805746896213</v>
      </c>
      <c r="V41" s="5">
        <f t="shared" si="25"/>
        <v>1378.8980941226228</v>
      </c>
      <c r="W41" s="5">
        <f t="shared" si="25"/>
        <v>1034.1735705919673</v>
      </c>
      <c r="X41" s="5">
        <f t="shared" si="25"/>
        <v>945.53012168408486</v>
      </c>
      <c r="Y41" s="5">
        <f>SUMPRODUCT(K5:K20,$D$5:$D$20)/SUM($D$5:$D$20)</f>
        <v>945.53012168408486</v>
      </c>
      <c r="Z41" s="133">
        <f>(Y41/S41)-1</f>
        <v>-0.46824092381116567</v>
      </c>
      <c r="AJ41" t="s">
        <v>314</v>
      </c>
      <c r="AK41" s="8"/>
      <c r="AL41" s="8" t="s">
        <v>317</v>
      </c>
      <c r="AM41" s="8"/>
      <c r="AO41">
        <v>15</v>
      </c>
      <c r="AP41" s="155">
        <f t="shared" si="18"/>
        <v>284.22137238742221</v>
      </c>
      <c r="AQ41" s="149">
        <f t="shared" si="19"/>
        <v>331.56570246394472</v>
      </c>
    </row>
    <row r="42" spans="4:43" x14ac:dyDescent="0.2">
      <c r="D42">
        <v>24505.7</v>
      </c>
      <c r="E42">
        <v>16</v>
      </c>
      <c r="F42">
        <v>176.90321788602199</v>
      </c>
      <c r="G42">
        <v>158.172288933385</v>
      </c>
      <c r="H42">
        <v>100.333168353266</v>
      </c>
      <c r="I42">
        <v>319.54027182310898</v>
      </c>
      <c r="J42">
        <v>285.70659598301501</v>
      </c>
      <c r="K42">
        <v>181.23179595937501</v>
      </c>
      <c r="L42" s="133">
        <f t="shared" si="15"/>
        <v>-0.10588235294117287</v>
      </c>
      <c r="M42" s="133">
        <f t="shared" si="16"/>
        <v>-0.43283582089552353</v>
      </c>
      <c r="N42" s="133">
        <f t="shared" si="17"/>
        <v>0.80629993982917636</v>
      </c>
      <c r="O42" s="133">
        <f t="shared" si="13"/>
        <v>2.4468622589680189E-2</v>
      </c>
      <c r="AJ42" t="s">
        <v>315</v>
      </c>
      <c r="AK42" s="8"/>
      <c r="AL42" s="8"/>
      <c r="AM42" s="8"/>
      <c r="AO42">
        <v>16</v>
      </c>
      <c r="AP42" s="155">
        <f t="shared" si="18"/>
        <v>4.3351371865494892</v>
      </c>
      <c r="AQ42" s="149">
        <f t="shared" si="19"/>
        <v>7.8305580392155623</v>
      </c>
    </row>
    <row r="43" spans="4:43" x14ac:dyDescent="0.2">
      <c r="R43" t="s">
        <v>212</v>
      </c>
      <c r="S43" s="5">
        <f>SUMPRODUCT(F27:F42,$D$27:$D$42)/SUM($D$27:$D$42)</f>
        <v>817.11137007908144</v>
      </c>
      <c r="T43" s="5">
        <f>SUMPRODUCT(G27:G42,$D$27:$D$42)/SUM($D$27:$D$42)</f>
        <v>730.59369560012033</v>
      </c>
      <c r="U43" s="5">
        <f>SUMPRODUCT(H27:H42,$D$27:$D$42)/SUM($D$27:$D$42)</f>
        <v>463.43629944783731</v>
      </c>
      <c r="V43" s="5">
        <f>SUMPRODUCT(I27:I42,$D$27:$D$42)/SUM($D$27:$D$42)</f>
        <v>1097.489947588773</v>
      </c>
      <c r="W43" s="5">
        <f>SUMPRODUCT(J27:J42,$D$27:$D$42)/SUM($D$27:$D$42)</f>
        <v>981.28512960878732</v>
      </c>
      <c r="X43" s="5">
        <f>1.3*SUMPRODUCT(K27:K42,$D$27:$D$42)/SUM($D$27:$D$42)</f>
        <v>809.19408075948468</v>
      </c>
      <c r="Y43" s="5">
        <f>SUMPRODUCT(K27:K42,$D$27:$D$42)/SUM($D$27:$D$42)</f>
        <v>622.45698519960354</v>
      </c>
      <c r="Z43" s="133">
        <f>(Y43/S43)-1</f>
        <v>-0.2382225875288444</v>
      </c>
    </row>
    <row r="44" spans="4:43" x14ac:dyDescent="0.2">
      <c r="F44">
        <f t="shared" ref="F44:K44" si="26">SUMPRODUCT(F27:F42,$D$27:$D$42)</f>
        <v>4706112979.224473</v>
      </c>
      <c r="G44">
        <f t="shared" si="26"/>
        <v>4207818663.7771788</v>
      </c>
      <c r="H44">
        <f t="shared" si="26"/>
        <v>2669138704.6347761</v>
      </c>
      <c r="I44">
        <f t="shared" si="26"/>
        <v>6320939685.8791018</v>
      </c>
      <c r="J44">
        <f t="shared" si="26"/>
        <v>5651663719.1389732</v>
      </c>
      <c r="K44">
        <f t="shared" si="26"/>
        <v>3585010568.1105409</v>
      </c>
      <c r="AJ44" s="153" t="s">
        <v>313</v>
      </c>
      <c r="AK44" s="153"/>
    </row>
    <row r="45" spans="4:43" x14ac:dyDescent="0.2">
      <c r="F45">
        <f t="shared" ref="F45:K45" si="27">F44/SUM($D$27:$D$42)</f>
        <v>817.11137007908144</v>
      </c>
      <c r="G45">
        <f t="shared" si="27"/>
        <v>730.59369560012033</v>
      </c>
      <c r="H45">
        <f t="shared" si="27"/>
        <v>463.43629944783731</v>
      </c>
      <c r="I45">
        <f t="shared" si="27"/>
        <v>1097.489947588773</v>
      </c>
      <c r="J45">
        <f t="shared" si="27"/>
        <v>981.28512960878732</v>
      </c>
      <c r="K45">
        <f t="shared" si="27"/>
        <v>622.45698519960354</v>
      </c>
      <c r="R45" t="s">
        <v>274</v>
      </c>
      <c r="S45" s="7">
        <f>S39+S43</f>
        <v>6151.4638843461735</v>
      </c>
      <c r="T45" s="7">
        <f t="shared" ref="T45:Y45" si="28">T39+T43</f>
        <v>5222.6800234039902</v>
      </c>
      <c r="U45" s="7">
        <f t="shared" si="28"/>
        <v>4774.0241897646802</v>
      </c>
      <c r="V45" s="7">
        <f>V39+V43</f>
        <v>5234.1842299566442</v>
      </c>
      <c r="W45" s="7">
        <f t="shared" si="28"/>
        <v>4464.8171568659427</v>
      </c>
      <c r="X45" s="7">
        <f>X39+X43</f>
        <v>4151.9773392385723</v>
      </c>
      <c r="Y45" s="7">
        <f t="shared" si="28"/>
        <v>3965.2402436786915</v>
      </c>
      <c r="AJ45" t="s">
        <v>310</v>
      </c>
      <c r="AL45" s="139">
        <v>0.57999999999999996</v>
      </c>
    </row>
    <row r="46" spans="4:43" x14ac:dyDescent="0.2">
      <c r="R46" t="s">
        <v>275</v>
      </c>
      <c r="S46" s="7">
        <f>S41+S43</f>
        <v>2595.2288748347787</v>
      </c>
      <c r="T46" s="7">
        <f t="shared" ref="T46:Y46" si="29">T41+T43</f>
        <v>2064.1818241668934</v>
      </c>
      <c r="U46" s="7">
        <f t="shared" si="29"/>
        <v>1682.7168741374585</v>
      </c>
      <c r="V46" s="7">
        <f>V41+V43</f>
        <v>2476.388041711396</v>
      </c>
      <c r="W46" s="7">
        <f t="shared" si="29"/>
        <v>2015.4587002007547</v>
      </c>
      <c r="X46" s="7">
        <f>X41+X43</f>
        <v>1754.7242024435695</v>
      </c>
      <c r="Y46" s="7">
        <f t="shared" si="29"/>
        <v>1567.9871068836883</v>
      </c>
      <c r="AJ46" t="s">
        <v>311</v>
      </c>
      <c r="AL46" s="139">
        <v>0.9</v>
      </c>
    </row>
    <row r="47" spans="4:43" x14ac:dyDescent="0.2">
      <c r="AJ47" t="s">
        <v>312</v>
      </c>
      <c r="AL47" s="139">
        <v>0.41</v>
      </c>
    </row>
    <row r="49" spans="4:38" x14ac:dyDescent="0.2">
      <c r="D49" t="s">
        <v>262</v>
      </c>
      <c r="E49" s="145">
        <v>2018</v>
      </c>
      <c r="F49" s="145" t="s">
        <v>284</v>
      </c>
      <c r="G49" s="145" t="s">
        <v>285</v>
      </c>
      <c r="H49" s="145" t="s">
        <v>286</v>
      </c>
      <c r="I49" s="145"/>
      <c r="J49" s="145"/>
      <c r="R49" s="145">
        <v>2018</v>
      </c>
      <c r="S49" s="145" t="s">
        <v>260</v>
      </c>
      <c r="T49" s="145"/>
      <c r="U49" s="145"/>
      <c r="V49" s="145"/>
    </row>
    <row r="51" spans="4:38" x14ac:dyDescent="0.2">
      <c r="F51" t="s">
        <v>282</v>
      </c>
      <c r="G51" t="s">
        <v>257</v>
      </c>
      <c r="H51" t="s">
        <v>256</v>
      </c>
      <c r="I51" t="s">
        <v>276</v>
      </c>
      <c r="J51" t="s">
        <v>273</v>
      </c>
      <c r="K51" t="s">
        <v>259</v>
      </c>
      <c r="S51" t="s">
        <v>283</v>
      </c>
      <c r="T51" t="s">
        <v>257</v>
      </c>
      <c r="U51" t="s">
        <v>256</v>
      </c>
      <c r="V51" t="s">
        <v>276</v>
      </c>
      <c r="W51" t="s">
        <v>273</v>
      </c>
      <c r="X51" t="s">
        <v>259</v>
      </c>
    </row>
    <row r="52" spans="4:38" x14ac:dyDescent="0.2">
      <c r="D52">
        <v>60423.3</v>
      </c>
      <c r="E52">
        <v>1</v>
      </c>
      <c r="F52">
        <v>7.3268114372032206E-2</v>
      </c>
      <c r="G52">
        <v>3.8316171674921719E-2</v>
      </c>
      <c r="H52">
        <v>7.5288732747155378E-3</v>
      </c>
      <c r="I52">
        <v>7.2687991303208466E-2</v>
      </c>
      <c r="J52">
        <v>1.1921307615920059E-2</v>
      </c>
      <c r="K52" s="132">
        <v>6.4124942701116877E-3</v>
      </c>
      <c r="M52">
        <f>F52/D52</f>
        <v>1.2125804842177141E-6</v>
      </c>
      <c r="P52">
        <f>S52/D52</f>
        <v>2.2670964537014399E-6</v>
      </c>
      <c r="R52">
        <v>1</v>
      </c>
      <c r="S52">
        <v>0.13698544915093822</v>
      </c>
      <c r="T52">
        <v>0.11535616770605318</v>
      </c>
      <c r="U52">
        <v>0.11069531244520238</v>
      </c>
      <c r="V52">
        <v>0.13561677892511559</v>
      </c>
      <c r="W52">
        <v>9.8234629789837963E-2</v>
      </c>
      <c r="X52">
        <v>9.4265553838733349E-2</v>
      </c>
    </row>
    <row r="53" spans="4:38" x14ac:dyDescent="0.2">
      <c r="D53">
        <v>307871.09999999998</v>
      </c>
      <c r="E53">
        <v>2</v>
      </c>
      <c r="F53">
        <v>0.34792784102474222</v>
      </c>
      <c r="G53">
        <v>0.18062400022121392</v>
      </c>
      <c r="H53">
        <v>3.5072221377899962E-2</v>
      </c>
      <c r="I53">
        <v>0.34548706680628788</v>
      </c>
      <c r="J53">
        <v>5.819180812266854E-2</v>
      </c>
      <c r="K53" s="132">
        <v>3.0341671868151315E-2</v>
      </c>
      <c r="R53">
        <v>2</v>
      </c>
      <c r="S53">
        <v>0.63806994520085092</v>
      </c>
      <c r="T53">
        <v>0.53732205911650577</v>
      </c>
      <c r="U53">
        <v>0.51561207692998057</v>
      </c>
      <c r="V53">
        <v>0.6323114860388559</v>
      </c>
      <c r="W53">
        <v>0.4647711758934458</v>
      </c>
      <c r="X53">
        <v>0.44599254252401394</v>
      </c>
    </row>
    <row r="54" spans="4:38" x14ac:dyDescent="0.2">
      <c r="D54">
        <v>1268388.8999999999</v>
      </c>
      <c r="E54">
        <v>3</v>
      </c>
      <c r="F54">
        <v>1.182931244602428</v>
      </c>
      <c r="G54">
        <v>0.60005472344334088</v>
      </c>
      <c r="H54">
        <v>0.1120442550351784</v>
      </c>
      <c r="I54">
        <v>1.1713388214667306</v>
      </c>
      <c r="J54">
        <v>0.20177483253511225</v>
      </c>
      <c r="K54" s="132">
        <v>9.0290279648378269E-2</v>
      </c>
      <c r="R54">
        <v>3</v>
      </c>
      <c r="S54">
        <v>2.0377991696303215</v>
      </c>
      <c r="T54">
        <v>1.7160414060044862</v>
      </c>
      <c r="U54">
        <v>1.646706399701277</v>
      </c>
      <c r="V54">
        <v>2.0104494480908377</v>
      </c>
      <c r="W54">
        <v>1.3824078345404176</v>
      </c>
      <c r="X54">
        <v>1.3265529725387779</v>
      </c>
      <c r="AC54" t="str">
        <f t="shared" ref="AC54:AH54" si="30">S51</f>
        <v>Current Demand</v>
      </c>
      <c r="AD54" t="str">
        <f t="shared" si="30"/>
        <v>Mod EE Imp</v>
      </c>
      <c r="AE54" t="str">
        <f t="shared" si="30"/>
        <v>Agg EE Imp</v>
      </c>
      <c r="AF54" t="str">
        <f t="shared" si="30"/>
        <v>With CC (No EE Imp)</v>
      </c>
      <c r="AG54" t="str">
        <f t="shared" si="30"/>
        <v>With CC(Mod EE Imp)</v>
      </c>
      <c r="AH54" t="str">
        <f t="shared" si="30"/>
        <v>With CC (Agg EE Imp)</v>
      </c>
    </row>
    <row r="55" spans="4:38" x14ac:dyDescent="0.2">
      <c r="D55">
        <v>665907.30000000005</v>
      </c>
      <c r="E55">
        <v>4</v>
      </c>
      <c r="F55">
        <v>0.61413209536501268</v>
      </c>
      <c r="G55">
        <v>0.31105537711294662</v>
      </c>
      <c r="H55">
        <v>5.792840367204901E-2</v>
      </c>
      <c r="I55">
        <v>0.60887725836701423</v>
      </c>
      <c r="J55">
        <v>0.10652791507621945</v>
      </c>
      <c r="K55" s="132">
        <v>4.7947195879671098E-2</v>
      </c>
      <c r="R55">
        <v>4</v>
      </c>
      <c r="S55">
        <v>1.0535476432102973</v>
      </c>
      <c r="T55">
        <v>0.88719801533498754</v>
      </c>
      <c r="U55">
        <v>0.85135163087700372</v>
      </c>
      <c r="V55">
        <v>1.0411500342765729</v>
      </c>
      <c r="W55">
        <v>0.73411951156335953</v>
      </c>
      <c r="X55">
        <v>0.70445811715675821</v>
      </c>
      <c r="AB55" t="s">
        <v>277</v>
      </c>
      <c r="AC55" s="149">
        <f t="shared" ref="AC55:AH55" si="31">$B$3*S69</f>
        <v>8.0561591151670342</v>
      </c>
      <c r="AD55" s="149">
        <f t="shared" si="31"/>
        <v>6.7841339917196146</v>
      </c>
      <c r="AE55" s="149">
        <f t="shared" si="31"/>
        <v>6.5100275678117443</v>
      </c>
      <c r="AF55" s="149">
        <f t="shared" si="31"/>
        <v>7.9272986855455239</v>
      </c>
      <c r="AG55" s="149">
        <f t="shared" si="31"/>
        <v>5.26097370192638</v>
      </c>
      <c r="AH55" s="149">
        <f t="shared" si="31"/>
        <v>5.0484091079091495</v>
      </c>
    </row>
    <row r="56" spans="4:38" x14ac:dyDescent="0.2">
      <c r="D56">
        <v>155749.5</v>
      </c>
      <c r="E56">
        <v>5</v>
      </c>
      <c r="F56">
        <v>0.14804853875139176</v>
      </c>
      <c r="G56">
        <v>7.5289104981993732E-2</v>
      </c>
      <c r="H56">
        <v>1.4120038785745319E-2</v>
      </c>
      <c r="I56">
        <v>0.14649692242369236</v>
      </c>
      <c r="J56">
        <v>2.4928556720030456E-2</v>
      </c>
      <c r="K56" s="132">
        <v>1.1225987285811935E-2</v>
      </c>
      <c r="R56">
        <v>5</v>
      </c>
      <c r="S56">
        <v>0.25681647405937713</v>
      </c>
      <c r="T56">
        <v>0.21626650447105336</v>
      </c>
      <c r="U56">
        <v>0.20752846388636553</v>
      </c>
      <c r="V56">
        <v>0.25315578345121381</v>
      </c>
      <c r="W56">
        <v>0.17188138769329028</v>
      </c>
      <c r="X56">
        <v>0.16493668516022761</v>
      </c>
      <c r="AB56" t="s">
        <v>278</v>
      </c>
      <c r="AC56" s="149">
        <f>$B$3 * F69</f>
        <v>5.2728168894027148</v>
      </c>
      <c r="AD56" s="149">
        <f>$B$3 * G69</f>
        <v>2.5545839835332829</v>
      </c>
      <c r="AE56" s="149">
        <f>$B$3 * H69</f>
        <v>0.44322172066907795</v>
      </c>
      <c r="AF56" s="149">
        <f>$B$3 * I69</f>
        <v>5.2181982482782159</v>
      </c>
      <c r="AG56" s="149">
        <f>$B$3 * J69</f>
        <v>0.96547742742096876</v>
      </c>
      <c r="AH56" s="149">
        <f>$B$3*K69</f>
        <v>0.34390680068393087</v>
      </c>
    </row>
    <row r="57" spans="4:38" x14ac:dyDescent="0.2">
      <c r="D57">
        <v>961518.6</v>
      </c>
      <c r="E57">
        <v>6</v>
      </c>
      <c r="F57">
        <v>0.5745954614690415</v>
      </c>
      <c r="G57">
        <v>0.26956710170774179</v>
      </c>
      <c r="H57">
        <v>4.3205502186331304E-2</v>
      </c>
      <c r="I57">
        <v>0.56798537054168374</v>
      </c>
      <c r="J57">
        <v>0.11240550114181616</v>
      </c>
      <c r="K57" s="132">
        <v>3.1369125022175454E-2</v>
      </c>
      <c r="R57">
        <v>6</v>
      </c>
      <c r="S57">
        <v>0.78476091942737547</v>
      </c>
      <c r="T57">
        <v>0.66085130057042163</v>
      </c>
      <c r="U57">
        <v>0.63415023792111158</v>
      </c>
      <c r="V57">
        <v>0.76916589290895787</v>
      </c>
      <c r="W57">
        <v>0.47932067381107923</v>
      </c>
      <c r="X57">
        <v>0.4599541819399246</v>
      </c>
      <c r="AB57" t="s">
        <v>212</v>
      </c>
      <c r="AC57" s="149">
        <f>$B$3 *F90</f>
        <v>2.4036938425676517</v>
      </c>
      <c r="AD57" s="149">
        <f>$B$3 *G90</f>
        <v>1.0389439119850314</v>
      </c>
      <c r="AE57" s="149">
        <f>$B$3 *H90</f>
        <v>7.8210230349240961E-2</v>
      </c>
      <c r="AF57" s="149">
        <f>$B$3 *I90</f>
        <v>2.4170249346693562</v>
      </c>
      <c r="AG57" s="149">
        <f>$B$3 *J90</f>
        <v>0.70741359036693685</v>
      </c>
      <c r="AH57" s="149">
        <f>$B$3*K90</f>
        <v>0.10477051439003805</v>
      </c>
    </row>
    <row r="58" spans="4:38" x14ac:dyDescent="0.2">
      <c r="D58">
        <v>752726.7</v>
      </c>
      <c r="E58">
        <v>7</v>
      </c>
      <c r="F58">
        <v>0.41070769501734794</v>
      </c>
      <c r="G58">
        <v>0.18852987674554936</v>
      </c>
      <c r="H58">
        <v>2.8756375007762805E-2</v>
      </c>
      <c r="I58">
        <v>0.40532965980532465</v>
      </c>
      <c r="J58">
        <v>8.2386589493729123E-2</v>
      </c>
      <c r="K58" s="132">
        <v>1.9427986065041661E-2</v>
      </c>
      <c r="R58">
        <v>7</v>
      </c>
      <c r="S58">
        <v>0.52206741757812503</v>
      </c>
      <c r="T58">
        <v>0.43963572006578977</v>
      </c>
      <c r="U58">
        <v>0.42187266066919182</v>
      </c>
      <c r="V58">
        <v>0.50937915009887325</v>
      </c>
      <c r="W58">
        <v>0.29656928445446179</v>
      </c>
      <c r="X58">
        <v>0.28458668710276647</v>
      </c>
    </row>
    <row r="59" spans="4:38" x14ac:dyDescent="0.2">
      <c r="D59">
        <v>1548237.6</v>
      </c>
      <c r="E59">
        <v>8</v>
      </c>
      <c r="F59">
        <v>0.85169972840466224</v>
      </c>
      <c r="G59">
        <v>0.39176792450710513</v>
      </c>
      <c r="H59">
        <v>6.0046279134236789E-2</v>
      </c>
      <c r="I59">
        <v>0.84084467458775536</v>
      </c>
      <c r="J59">
        <v>0.17071131477327284</v>
      </c>
      <c r="K59" s="132">
        <v>4.1108003633789643E-2</v>
      </c>
      <c r="R59">
        <v>8</v>
      </c>
      <c r="S59">
        <v>1.0901823094212442</v>
      </c>
      <c r="T59">
        <v>0.91804826056525812</v>
      </c>
      <c r="U59">
        <v>0.88095540155251961</v>
      </c>
      <c r="V59">
        <v>1.06457224535497</v>
      </c>
      <c r="W59">
        <v>0.62759815293028276</v>
      </c>
      <c r="X59">
        <v>0.60224065180178665</v>
      </c>
    </row>
    <row r="60" spans="4:38" x14ac:dyDescent="0.2">
      <c r="D60">
        <v>2000349</v>
      </c>
      <c r="E60">
        <v>9</v>
      </c>
      <c r="F60">
        <v>1.1533807838812675</v>
      </c>
      <c r="G60">
        <v>0.5366420772614795</v>
      </c>
      <c r="H60">
        <v>8.4442749062777891E-2</v>
      </c>
      <c r="I60">
        <v>1.1381046826308834</v>
      </c>
      <c r="J60">
        <v>0.22568180390908316</v>
      </c>
      <c r="K60" s="132">
        <v>5.7793297756450625E-2</v>
      </c>
      <c r="R60">
        <v>9</v>
      </c>
      <c r="S60">
        <v>1.5335056890160148</v>
      </c>
      <c r="T60">
        <v>1.2913732118029593</v>
      </c>
      <c r="U60">
        <v>1.2391965163765772</v>
      </c>
      <c r="V60">
        <v>1.4974651554264069</v>
      </c>
      <c r="W60">
        <v>0.88265933496908189</v>
      </c>
      <c r="X60">
        <v>0.84699633153598686</v>
      </c>
    </row>
    <row r="61" spans="4:38" x14ac:dyDescent="0.2">
      <c r="D61">
        <v>1344825</v>
      </c>
      <c r="E61">
        <v>10</v>
      </c>
      <c r="F61">
        <v>0.83936838612017417</v>
      </c>
      <c r="G61">
        <v>0.39757271673038452</v>
      </c>
      <c r="H61">
        <v>6.5055510819449977E-2</v>
      </c>
      <c r="I61">
        <v>0.82819957495850804</v>
      </c>
      <c r="J61">
        <v>0.15888645549732294</v>
      </c>
      <c r="K61" s="132">
        <v>4.5401964236594643E-2</v>
      </c>
      <c r="R61">
        <v>10</v>
      </c>
      <c r="S61">
        <v>1.1818584156558045</v>
      </c>
      <c r="T61">
        <v>0.99524919213120422</v>
      </c>
      <c r="U61">
        <v>0.95503710356024596</v>
      </c>
      <c r="V61">
        <v>1.155508111528442</v>
      </c>
      <c r="W61">
        <v>0.69382920696599593</v>
      </c>
      <c r="X61">
        <v>0.66579570365423957</v>
      </c>
    </row>
    <row r="62" spans="4:38" x14ac:dyDescent="0.2">
      <c r="D62">
        <v>356284.8</v>
      </c>
      <c r="E62">
        <v>11</v>
      </c>
      <c r="F62">
        <v>0.30329599035901944</v>
      </c>
      <c r="G62">
        <v>0.15187952461728232</v>
      </c>
      <c r="H62">
        <v>2.7718041097455057E-2</v>
      </c>
      <c r="I62">
        <v>0.30105246058427759</v>
      </c>
      <c r="J62">
        <v>5.4549947288350477E-2</v>
      </c>
      <c r="K62" s="132">
        <v>2.3416807054065895E-2</v>
      </c>
      <c r="R62">
        <v>11</v>
      </c>
      <c r="S62">
        <v>0.50402716003831072</v>
      </c>
      <c r="T62">
        <v>0.42444392424278743</v>
      </c>
      <c r="U62">
        <v>0.40729467477843184</v>
      </c>
      <c r="V62">
        <v>0.49873405488794803</v>
      </c>
      <c r="W62">
        <v>0.35847731124066479</v>
      </c>
      <c r="X62">
        <v>0.34399337947336417</v>
      </c>
      <c r="AJ62" s="100" t="s">
        <v>319</v>
      </c>
      <c r="AK62" s="100"/>
    </row>
    <row r="63" spans="4:38" x14ac:dyDescent="0.2">
      <c r="D63">
        <v>1564000.2</v>
      </c>
      <c r="E63">
        <v>12</v>
      </c>
      <c r="F63">
        <v>1.2536247825006477</v>
      </c>
      <c r="G63">
        <v>0.62197656260614287</v>
      </c>
      <c r="H63">
        <v>0.11160090081319186</v>
      </c>
      <c r="I63">
        <v>1.2435263476562801</v>
      </c>
      <c r="J63">
        <v>0.228109680316712</v>
      </c>
      <c r="K63" s="132">
        <v>9.2415990931228265E-2</v>
      </c>
      <c r="R63">
        <v>12</v>
      </c>
      <c r="S63">
        <v>2.0290758052099043</v>
      </c>
      <c r="T63">
        <v>1.7086954149136084</v>
      </c>
      <c r="U63">
        <v>1.6396572163312304</v>
      </c>
      <c r="V63">
        <v>2.005250813856053</v>
      </c>
      <c r="W63">
        <v>1.4144627568211543</v>
      </c>
      <c r="X63">
        <v>1.3573127464445436</v>
      </c>
    </row>
    <row r="64" spans="4:38" ht="32" x14ac:dyDescent="0.2">
      <c r="D64">
        <v>787004.1</v>
      </c>
      <c r="E64">
        <v>13</v>
      </c>
      <c r="F64">
        <v>0.60051013801040587</v>
      </c>
      <c r="G64">
        <v>0.29554055612822772</v>
      </c>
      <c r="H64">
        <v>5.2230651860492798E-2</v>
      </c>
      <c r="I64">
        <v>0.59551358520608688</v>
      </c>
      <c r="J64">
        <v>0.11071734780780948</v>
      </c>
      <c r="K64" s="132">
        <v>4.2784980763439125E-2</v>
      </c>
      <c r="R64">
        <v>13</v>
      </c>
      <c r="S64">
        <v>0.94951268660204668</v>
      </c>
      <c r="T64">
        <v>0.79958963082277723</v>
      </c>
      <c r="U64">
        <v>0.76728297907236265</v>
      </c>
      <c r="V64">
        <v>0.93772444127526189</v>
      </c>
      <c r="W64">
        <v>0.65472447735307293</v>
      </c>
      <c r="X64">
        <v>0.6282709631165847</v>
      </c>
      <c r="AK64" s="154" t="s">
        <v>320</v>
      </c>
      <c r="AL64" s="154" t="s">
        <v>321</v>
      </c>
    </row>
    <row r="65" spans="4:38" x14ac:dyDescent="0.2">
      <c r="D65">
        <v>296111.7</v>
      </c>
      <c r="E65">
        <v>14</v>
      </c>
      <c r="F65">
        <v>0.22097773150442312</v>
      </c>
      <c r="G65">
        <v>0.10834137501605585</v>
      </c>
      <c r="H65">
        <v>1.9008658659952254E-2</v>
      </c>
      <c r="I65">
        <v>0.21866851214367344</v>
      </c>
      <c r="J65">
        <v>4.0181953236251199E-2</v>
      </c>
      <c r="K65" s="132">
        <v>1.4748762671792339E-2</v>
      </c>
      <c r="R65">
        <v>14</v>
      </c>
      <c r="S65">
        <v>0.34554137792040873</v>
      </c>
      <c r="T65">
        <v>0.29098221298560861</v>
      </c>
      <c r="U65">
        <v>0.27922535589528097</v>
      </c>
      <c r="V65">
        <v>0.34009329292982776</v>
      </c>
      <c r="W65">
        <v>0.22564958815154468</v>
      </c>
      <c r="X65">
        <v>0.21653243307471448</v>
      </c>
      <c r="AJ65" t="s">
        <v>282</v>
      </c>
      <c r="AK65">
        <v>6.1</v>
      </c>
      <c r="AL65">
        <v>0.27700000000000002</v>
      </c>
    </row>
    <row r="66" spans="4:38" x14ac:dyDescent="0.2">
      <c r="D66">
        <v>220176</v>
      </c>
      <c r="E66">
        <v>15</v>
      </c>
      <c r="F66">
        <v>0.10682998740704307</v>
      </c>
      <c r="G66">
        <v>4.7492762471585584E-2</v>
      </c>
      <c r="H66">
        <v>6.687945218972112E-3</v>
      </c>
      <c r="I66">
        <v>0.10559068366992949</v>
      </c>
      <c r="J66">
        <v>2.2843293553976286E-2</v>
      </c>
      <c r="K66" s="132">
        <v>4.5351994842069013E-3</v>
      </c>
      <c r="R66">
        <v>15</v>
      </c>
      <c r="S66">
        <v>0.12131956093880319</v>
      </c>
      <c r="T66">
        <v>0.10216384079057127</v>
      </c>
      <c r="U66">
        <v>9.8036008839437028E-2</v>
      </c>
      <c r="V66">
        <v>0.11839570181839801</v>
      </c>
      <c r="W66">
        <v>6.914788691670716E-2</v>
      </c>
      <c r="X66">
        <v>6.6354032899870491E-2</v>
      </c>
      <c r="AJ66" t="s">
        <v>318</v>
      </c>
      <c r="AK66">
        <v>6.1</v>
      </c>
      <c r="AL66">
        <v>0.05</v>
      </c>
    </row>
    <row r="67" spans="4:38" x14ac:dyDescent="0.2">
      <c r="D67">
        <v>220551.3</v>
      </c>
      <c r="E67">
        <v>16</v>
      </c>
      <c r="F67">
        <v>0.40976508362883496</v>
      </c>
      <c r="G67">
        <v>0.1898052887969304</v>
      </c>
      <c r="H67">
        <v>3.872897445771651E-2</v>
      </c>
      <c r="I67">
        <v>0.40718991936282811</v>
      </c>
      <c r="J67">
        <v>5.4797947085809935E-2</v>
      </c>
      <c r="K67" s="132">
        <v>3.3723013228972011E-2</v>
      </c>
      <c r="R67">
        <v>16</v>
      </c>
      <c r="S67">
        <v>0.70485948584885683</v>
      </c>
      <c r="T67">
        <v>0.59356588282009015</v>
      </c>
      <c r="U67">
        <v>0.56958342290816777</v>
      </c>
      <c r="V67">
        <v>0.69878396352110261</v>
      </c>
      <c r="W67">
        <v>0.51679110057177746</v>
      </c>
      <c r="X67">
        <v>0.49591065206382673</v>
      </c>
    </row>
    <row r="69" spans="4:38" ht="19" x14ac:dyDescent="0.35">
      <c r="F69" s="148">
        <f t="shared" ref="F69:K69" si="32">SUM(F52:F67)</f>
        <v>9.0910636024184743</v>
      </c>
      <c r="G69" s="148">
        <f t="shared" si="32"/>
        <v>4.4044551440229016</v>
      </c>
      <c r="H69" s="148">
        <f t="shared" si="32"/>
        <v>0.76417538046392752</v>
      </c>
      <c r="I69" s="148">
        <f t="shared" si="32"/>
        <v>8.996893531514166</v>
      </c>
      <c r="J69" s="148">
        <f t="shared" si="32"/>
        <v>1.6646162541740841</v>
      </c>
      <c r="K69" s="148">
        <f t="shared" si="32"/>
        <v>0.59294275979988087</v>
      </c>
      <c r="S69" s="148">
        <f t="shared" ref="S69:X69" si="33">SUM(S52:S67)</f>
        <v>13.889929508908681</v>
      </c>
      <c r="T69" s="148">
        <f t="shared" si="33"/>
        <v>11.696782744344164</v>
      </c>
      <c r="U69" s="148">
        <f t="shared" si="33"/>
        <v>11.224185461744387</v>
      </c>
      <c r="V69" s="148">
        <f t="shared" si="33"/>
        <v>13.667756354388835</v>
      </c>
      <c r="W69" s="148">
        <f t="shared" si="33"/>
        <v>9.0706443136661736</v>
      </c>
      <c r="X69" s="148">
        <f t="shared" si="33"/>
        <v>8.7041536343261203</v>
      </c>
    </row>
    <row r="70" spans="4:38" x14ac:dyDescent="0.2">
      <c r="D70" t="s">
        <v>263</v>
      </c>
      <c r="E70" s="145">
        <v>2018</v>
      </c>
      <c r="F70" s="145" t="s">
        <v>261</v>
      </c>
      <c r="G70" s="145"/>
      <c r="H70" s="145"/>
      <c r="I70" s="145"/>
      <c r="J70" s="145"/>
    </row>
    <row r="72" spans="4:38" x14ac:dyDescent="0.2">
      <c r="F72" t="s">
        <v>282</v>
      </c>
      <c r="G72" t="s">
        <v>257</v>
      </c>
      <c r="H72" t="s">
        <v>256</v>
      </c>
      <c r="I72" t="s">
        <v>276</v>
      </c>
      <c r="J72" t="s">
        <v>273</v>
      </c>
      <c r="K72" t="s">
        <v>259</v>
      </c>
    </row>
    <row r="73" spans="4:38" x14ac:dyDescent="0.2">
      <c r="D73">
        <v>6713.7</v>
      </c>
      <c r="E73">
        <v>1</v>
      </c>
      <c r="F73">
        <v>3.4423591183008859E-3</v>
      </c>
      <c r="G73">
        <v>1.135791249668212E-3</v>
      </c>
      <c r="H73">
        <v>8.4043881487240414E-6</v>
      </c>
      <c r="I73">
        <v>3.4451740251819607E-3</v>
      </c>
      <c r="J73">
        <v>1.1138095037299925E-3</v>
      </c>
      <c r="K73">
        <v>1.5226152055626292E-5</v>
      </c>
    </row>
    <row r="74" spans="4:38" x14ac:dyDescent="0.2">
      <c r="D74">
        <v>34207.9</v>
      </c>
      <c r="E74">
        <v>2</v>
      </c>
      <c r="F74">
        <v>1.943004187303279E-2</v>
      </c>
      <c r="G74">
        <v>7.0835469339430059E-3</v>
      </c>
      <c r="H74">
        <v>2.4537310434965165E-4</v>
      </c>
      <c r="I74">
        <v>1.9494749405295168E-2</v>
      </c>
      <c r="J74">
        <v>6.1586397921729362E-3</v>
      </c>
      <c r="K74">
        <v>3.8428825898293356E-4</v>
      </c>
    </row>
    <row r="75" spans="4:38" x14ac:dyDescent="0.2">
      <c r="D75">
        <v>140932.1</v>
      </c>
      <c r="E75">
        <v>3</v>
      </c>
      <c r="F75">
        <v>7.4580972076787946E-2</v>
      </c>
      <c r="G75">
        <v>2.5433202025472786E-2</v>
      </c>
      <c r="H75">
        <v>4.2499675972988699E-4</v>
      </c>
      <c r="I75">
        <v>7.4743667098453162E-2</v>
      </c>
      <c r="J75">
        <v>2.416914804256895E-2</v>
      </c>
      <c r="K75">
        <v>8.1971016800055647E-4</v>
      </c>
    </row>
    <row r="76" spans="4:38" x14ac:dyDescent="0.2">
      <c r="D76">
        <v>73989.7</v>
      </c>
      <c r="E76">
        <v>4</v>
      </c>
      <c r="F76">
        <v>4.4621004783750022E-2</v>
      </c>
      <c r="G76">
        <v>1.7100894654302045E-2</v>
      </c>
      <c r="H76">
        <v>8.0876892212202725E-4</v>
      </c>
      <c r="I76">
        <v>4.4818952893198608E-2</v>
      </c>
      <c r="J76">
        <v>1.3942719216909512E-2</v>
      </c>
      <c r="K76">
        <v>1.2257068482217476E-3</v>
      </c>
    </row>
    <row r="77" spans="4:38" x14ac:dyDescent="0.2">
      <c r="D77">
        <v>17305.5</v>
      </c>
      <c r="E77">
        <v>5</v>
      </c>
      <c r="F77">
        <v>9.1352430829801396E-3</v>
      </c>
      <c r="G77">
        <v>3.1073935923219328E-3</v>
      </c>
      <c r="H77">
        <v>4.9744688577642709E-5</v>
      </c>
      <c r="I77">
        <v>9.1555272599654989E-3</v>
      </c>
      <c r="J77">
        <v>2.967101282981984E-3</v>
      </c>
      <c r="K77">
        <v>1.0020752430454868E-4</v>
      </c>
    </row>
    <row r="78" spans="4:38" x14ac:dyDescent="0.2">
      <c r="D78">
        <v>534177</v>
      </c>
      <c r="E78">
        <v>6</v>
      </c>
      <c r="F78">
        <v>0.32456189653998768</v>
      </c>
      <c r="G78">
        <v>0.1251183753621288</v>
      </c>
      <c r="H78">
        <v>6.0978130314987755E-3</v>
      </c>
      <c r="I78">
        <v>0.326090097884501</v>
      </c>
      <c r="J78">
        <v>0.10142270012947226</v>
      </c>
      <c r="K78">
        <v>9.3322736713169763E-3</v>
      </c>
    </row>
    <row r="79" spans="4:38" x14ac:dyDescent="0.2">
      <c r="D79">
        <v>418181.5</v>
      </c>
      <c r="E79">
        <v>7</v>
      </c>
      <c r="F79">
        <v>0.27502179425663881</v>
      </c>
      <c r="G79">
        <v>0.11230816462607898</v>
      </c>
      <c r="H79">
        <v>7.0171138449460733E-3</v>
      </c>
      <c r="I79">
        <v>0.27645240921512076</v>
      </c>
      <c r="J79">
        <v>8.3524490138289068E-2</v>
      </c>
      <c r="K79">
        <v>9.9227309351852446E-3</v>
      </c>
    </row>
    <row r="80" spans="4:38" x14ac:dyDescent="0.2">
      <c r="D80">
        <v>860132</v>
      </c>
      <c r="E80">
        <v>8</v>
      </c>
      <c r="F80">
        <v>0.58283198527692848</v>
      </c>
      <c r="G80">
        <v>0.24276553490674863</v>
      </c>
      <c r="H80">
        <v>1.6271332762476026E-2</v>
      </c>
      <c r="I80">
        <v>0.58615738449107624</v>
      </c>
      <c r="J80">
        <v>0.17592168033882333</v>
      </c>
      <c r="K80">
        <v>2.3026225909960531E-2</v>
      </c>
    </row>
    <row r="81" spans="4:35" x14ac:dyDescent="0.2">
      <c r="D81">
        <v>1111305</v>
      </c>
      <c r="E81">
        <v>9</v>
      </c>
      <c r="F81">
        <v>0.79324230924306494</v>
      </c>
      <c r="G81">
        <v>0.34123524783823633</v>
      </c>
      <c r="H81">
        <v>2.5331596177140522E-2</v>
      </c>
      <c r="I81">
        <v>0.79832025027168019</v>
      </c>
      <c r="J81">
        <v>0.23652917738950835</v>
      </c>
      <c r="K81">
        <v>3.5608553159214809E-2</v>
      </c>
    </row>
    <row r="82" spans="4:35" x14ac:dyDescent="0.2">
      <c r="D82">
        <v>747125</v>
      </c>
      <c r="E82">
        <v>10</v>
      </c>
      <c r="F82">
        <v>0.56421213072994658</v>
      </c>
      <c r="G82">
        <v>0.25061487017079509</v>
      </c>
      <c r="H82">
        <v>2.0343200322788562E-2</v>
      </c>
      <c r="I82">
        <v>0.56748599356142371</v>
      </c>
      <c r="J82">
        <v>0.16344979380813418</v>
      </c>
      <c r="K82">
        <v>2.6751034807440781E-2</v>
      </c>
      <c r="Z82">
        <f>1.2*3300</f>
        <v>3960</v>
      </c>
    </row>
    <row r="83" spans="4:35" x14ac:dyDescent="0.2">
      <c r="D83">
        <v>197936</v>
      </c>
      <c r="E83">
        <v>11</v>
      </c>
      <c r="F83">
        <v>0.15123478597321127</v>
      </c>
      <c r="G83">
        <v>6.7601030914718141E-2</v>
      </c>
      <c r="H83">
        <v>5.5778860486076498E-3</v>
      </c>
      <c r="I83">
        <v>0.15203252078135757</v>
      </c>
      <c r="J83">
        <v>4.334833390021476E-2</v>
      </c>
      <c r="K83">
        <v>7.1160464643397299E-3</v>
      </c>
    </row>
    <row r="84" spans="4:35" x14ac:dyDescent="0.2">
      <c r="D84">
        <v>868889</v>
      </c>
      <c r="E84">
        <v>12</v>
      </c>
      <c r="F84">
        <v>0.64205060222172139</v>
      </c>
      <c r="G84">
        <v>0.28177934358290341</v>
      </c>
      <c r="H84">
        <v>2.2146292242364064E-2</v>
      </c>
      <c r="I84">
        <v>0.64556640293826884</v>
      </c>
      <c r="J84">
        <v>0.18678540738914012</v>
      </c>
      <c r="K84">
        <v>2.901570718190128E-2</v>
      </c>
    </row>
    <row r="85" spans="4:35" x14ac:dyDescent="0.2">
      <c r="D85">
        <v>437224.5</v>
      </c>
      <c r="E85">
        <v>13</v>
      </c>
      <c r="F85">
        <v>0.3583589861660379</v>
      </c>
      <c r="G85">
        <v>0.16598553389460363</v>
      </c>
      <c r="H85">
        <v>1.4924086292530387E-2</v>
      </c>
      <c r="I85">
        <v>0.36035343282098709</v>
      </c>
      <c r="J85">
        <v>0.10051451223677478</v>
      </c>
      <c r="K85">
        <v>1.8739168275476836E-2</v>
      </c>
    </row>
    <row r="86" spans="4:35" x14ac:dyDescent="0.2">
      <c r="D86">
        <v>164506.5</v>
      </c>
      <c r="E86">
        <v>14</v>
      </c>
      <c r="F86">
        <v>0.15130652574930736</v>
      </c>
      <c r="G86">
        <v>7.3749597612982762E-2</v>
      </c>
      <c r="H86">
        <v>7.3802786933064631E-3</v>
      </c>
      <c r="I86">
        <v>0.15212765147169954</v>
      </c>
      <c r="J86">
        <v>4.0768705992191206E-2</v>
      </c>
      <c r="K86">
        <v>8.9218768158914157E-3</v>
      </c>
      <c r="AI86">
        <f>1.2</f>
        <v>1.2</v>
      </c>
    </row>
    <row r="87" spans="4:35" x14ac:dyDescent="0.2">
      <c r="D87">
        <v>122320</v>
      </c>
      <c r="E87">
        <v>15</v>
      </c>
      <c r="F87">
        <v>0.13678793506520437</v>
      </c>
      <c r="G87">
        <v>7.1490009978742788E-2</v>
      </c>
      <c r="H87">
        <v>8.0894937477029982E-3</v>
      </c>
      <c r="I87">
        <v>0.13751580542883929</v>
      </c>
      <c r="J87">
        <v>3.4725096286623396E-2</v>
      </c>
      <c r="K87">
        <v>9.4320941528581517E-3</v>
      </c>
    </row>
    <row r="88" spans="4:35" x14ac:dyDescent="0.2">
      <c r="D88">
        <v>24505.7</v>
      </c>
      <c r="E88">
        <v>16</v>
      </c>
      <c r="F88">
        <v>1.3481156408015867E-2</v>
      </c>
      <c r="G88">
        <v>4.774069527097532E-3</v>
      </c>
      <c r="H88">
        <v>1.2884371378118665E-4</v>
      </c>
      <c r="I88">
        <v>1.3524350572530009E-2</v>
      </c>
      <c r="J88">
        <v>4.3372886333908657E-3</v>
      </c>
      <c r="K88">
        <v>2.2796758870753743E-4</v>
      </c>
    </row>
    <row r="90" spans="4:35" ht="19" x14ac:dyDescent="0.35">
      <c r="F90" s="148">
        <f t="shared" ref="F90:K90" si="34">SUM(F73:F88)</f>
        <v>4.144299728564917</v>
      </c>
      <c r="G90" s="148">
        <f t="shared" si="34"/>
        <v>1.7912826068707441</v>
      </c>
      <c r="H90" s="148">
        <f t="shared" si="34"/>
        <v>0.13484522474007063</v>
      </c>
      <c r="I90" s="148">
        <f t="shared" si="34"/>
        <v>4.1672843701195799</v>
      </c>
      <c r="J90" s="148">
        <f t="shared" si="34"/>
        <v>1.2196786040809258</v>
      </c>
      <c r="K90" s="148">
        <f t="shared" si="34"/>
        <v>0.18063881791385872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Y46"/>
  <sheetViews>
    <sheetView topLeftCell="D1" workbookViewId="0">
      <selection activeCell="I23" sqref="I23"/>
    </sheetView>
  </sheetViews>
  <sheetFormatPr baseColWidth="10" defaultRowHeight="16" x14ac:dyDescent="0.2"/>
  <cols>
    <col min="8" max="8" width="11.1640625" bestFit="1" customWidth="1"/>
    <col min="9" max="9" width="11.33203125" bestFit="1" customWidth="1"/>
  </cols>
  <sheetData>
    <row r="6" spans="7:25" x14ac:dyDescent="0.2">
      <c r="N6">
        <f>8318.8/29.4</f>
        <v>282.95238095238096</v>
      </c>
    </row>
    <row r="10" spans="7:25" x14ac:dyDescent="0.2">
      <c r="I10" t="s">
        <v>334</v>
      </c>
      <c r="J10" s="157">
        <f>N10+T10</f>
        <v>8505.2195566195587</v>
      </c>
      <c r="N10" s="157">
        <f>P10+R10</f>
        <v>8195.0521696105698</v>
      </c>
      <c r="P10" s="157">
        <f>SUM(P16:P38)</f>
        <v>1337.3893347305691</v>
      </c>
      <c r="Q10" t="s">
        <v>331</v>
      </c>
      <c r="R10" s="157">
        <f>SUM(R17:R38)</f>
        <v>6857.6628348800014</v>
      </c>
      <c r="T10" s="157">
        <f>SUM(T17:T38)</f>
        <v>310.16738700898935</v>
      </c>
      <c r="V10" s="157">
        <f>SUM(V17:V38)</f>
        <v>8143.3181469875426</v>
      </c>
      <c r="X10" s="157">
        <f>V10+R10</f>
        <v>15000.980981867544</v>
      </c>
    </row>
    <row r="11" spans="7:25" x14ac:dyDescent="0.2">
      <c r="I11" t="s">
        <v>335</v>
      </c>
      <c r="J11" s="157">
        <f>T10+V10</f>
        <v>8453.4855339965325</v>
      </c>
    </row>
    <row r="12" spans="7:25" x14ac:dyDescent="0.2">
      <c r="I12" t="s">
        <v>113</v>
      </c>
      <c r="J12" s="157">
        <f>J11</f>
        <v>8453.4855339965325</v>
      </c>
    </row>
    <row r="13" spans="7:25" x14ac:dyDescent="0.2">
      <c r="P13" t="s">
        <v>332</v>
      </c>
      <c r="R13">
        <v>0.04</v>
      </c>
      <c r="T13">
        <v>0.02</v>
      </c>
      <c r="V13">
        <v>0.02</v>
      </c>
    </row>
    <row r="14" spans="7:25" x14ac:dyDescent="0.2">
      <c r="O14" t="s">
        <v>333</v>
      </c>
      <c r="P14">
        <v>400</v>
      </c>
      <c r="R14">
        <v>1.1835199999999999</v>
      </c>
      <c r="T14">
        <v>0.17849999999999999</v>
      </c>
      <c r="V14">
        <v>0.17849999999999999</v>
      </c>
    </row>
    <row r="15" spans="7:25" x14ac:dyDescent="0.2">
      <c r="G15">
        <f>R15*6.1/1000</f>
        <v>1.6065997000000001</v>
      </c>
      <c r="H15">
        <f>T15*0.277/1000</f>
        <v>2.7146E-2</v>
      </c>
      <c r="I15">
        <f>V15*0.277/1000</f>
        <v>0.71270714999999996</v>
      </c>
      <c r="J15">
        <f>T15*0.277/1000</f>
        <v>2.7146E-2</v>
      </c>
      <c r="R15" s="145">
        <v>263.37700000000001</v>
      </c>
      <c r="S15" s="145"/>
      <c r="T15" s="145">
        <v>98</v>
      </c>
      <c r="U15" s="145"/>
      <c r="V15" s="145">
        <v>2572.9499999999998</v>
      </c>
      <c r="Y15">
        <f>R15*29.3</f>
        <v>7716.9461000000001</v>
      </c>
    </row>
    <row r="16" spans="7:25" x14ac:dyDescent="0.2">
      <c r="G16">
        <f>600*0.277/1000</f>
        <v>0.16620000000000001</v>
      </c>
      <c r="H16">
        <f>H15</f>
        <v>2.7146E-2</v>
      </c>
      <c r="P16" s="145">
        <f>P14*T14</f>
        <v>71.399999999999991</v>
      </c>
      <c r="Q16" s="145"/>
      <c r="R16" s="145">
        <f>R15*R14</f>
        <v>311.71194703999998</v>
      </c>
      <c r="S16" s="145">
        <f>S15*S14</f>
        <v>0</v>
      </c>
      <c r="T16" s="145">
        <f>T15*T14</f>
        <v>17.492999999999999</v>
      </c>
      <c r="U16" s="145"/>
      <c r="V16" s="145">
        <f>V15*V14</f>
        <v>459.27157499999993</v>
      </c>
    </row>
    <row r="17" spans="6:25" x14ac:dyDescent="0.2">
      <c r="F17" t="s">
        <v>336</v>
      </c>
      <c r="H17">
        <f>G15</f>
        <v>1.6065997000000001</v>
      </c>
      <c r="I17">
        <f>G16+H16+0.25</f>
        <v>0.44334600000000002</v>
      </c>
      <c r="J17">
        <f>H17+I17</f>
        <v>2.0499457000000003</v>
      </c>
      <c r="K17" s="157">
        <f>P17+T17</f>
        <v>87.183519230769221</v>
      </c>
      <c r="M17">
        <f>P16+R16</f>
        <v>383.11194703999996</v>
      </c>
      <c r="P17">
        <f>$P$16*(1+$T$13)^Q17/(1+0.04)^Q17</f>
        <v>70.026923076923069</v>
      </c>
      <c r="Q17">
        <v>1</v>
      </c>
      <c r="R17" s="157">
        <f>$R$15*$R$14*(1+$R$13)^($Q17)/(1+0.04)^($Q17)</f>
        <v>311.71194703999998</v>
      </c>
      <c r="T17" s="157">
        <f>$T$15*$T$14*(1+$V$13)^($Q17)/(1+0.04)^($Q17)</f>
        <v>17.156596153846152</v>
      </c>
      <c r="V17" s="157">
        <f>$V$15*$V$14*(1+$V$13)^($Q17)/(1+0.04)^($Q17)</f>
        <v>450.439429326923</v>
      </c>
      <c r="Y17">
        <f>Y15/29.3</f>
        <v>263.37700000000001</v>
      </c>
    </row>
    <row r="18" spans="6:25" x14ac:dyDescent="0.2">
      <c r="F18" t="s">
        <v>337</v>
      </c>
      <c r="G18" t="s">
        <v>338</v>
      </c>
      <c r="H18">
        <f>I15+J15</f>
        <v>0.73985314999999996</v>
      </c>
      <c r="I18">
        <f>2*0.25</f>
        <v>0.5</v>
      </c>
      <c r="J18">
        <f>H18+I18</f>
        <v>1.2398531500000001</v>
      </c>
      <c r="K18">
        <f>J17-J18</f>
        <v>0.81009255000000024</v>
      </c>
      <c r="P18">
        <f t="shared" ref="P18:P38" si="0">$P$16*(1+$T$13)^Q18/(1+0.04)^Q18</f>
        <v>68.680251479289922</v>
      </c>
      <c r="Q18">
        <v>2</v>
      </c>
      <c r="R18" s="157">
        <f t="shared" ref="R18:R38" si="1">$R$15*$R$14*(1+$R$13)^($Q18)/(1+0.04)^($Q18)</f>
        <v>311.71194703999998</v>
      </c>
      <c r="T18" s="157">
        <f t="shared" ref="T18:T38" si="2">$T$15*$T$14*(1+$V$13)^($Q18)/(1+0.04)^($Q18)</f>
        <v>16.826661612426033</v>
      </c>
      <c r="V18" s="157">
        <f t="shared" ref="V18:V38" si="3">$V$15*$V$14*(1+$V$13)^($Q18)/(1+0.04)^($Q18)</f>
        <v>441.77713260909752</v>
      </c>
    </row>
    <row r="19" spans="6:25" x14ac:dyDescent="0.2">
      <c r="F19" t="s">
        <v>339</v>
      </c>
      <c r="H19">
        <f>I15+J15</f>
        <v>0.73985314999999996</v>
      </c>
      <c r="I19">
        <f>1*0.25</f>
        <v>0.25</v>
      </c>
      <c r="J19">
        <f>H19+I19</f>
        <v>0.98985314999999996</v>
      </c>
      <c r="K19">
        <f>J17-J19</f>
        <v>1.0600925500000002</v>
      </c>
      <c r="P19">
        <f t="shared" si="0"/>
        <v>67.3594774123805</v>
      </c>
      <c r="Q19">
        <v>3</v>
      </c>
      <c r="R19" s="157">
        <f t="shared" si="1"/>
        <v>311.71194703999998</v>
      </c>
      <c r="T19" s="157">
        <f t="shared" si="2"/>
        <v>16.503071966033222</v>
      </c>
      <c r="V19" s="157">
        <f t="shared" si="3"/>
        <v>433.28141852046105</v>
      </c>
    </row>
    <row r="20" spans="6:25" x14ac:dyDescent="0.2">
      <c r="P20">
        <f t="shared" si="0"/>
        <v>66.064102846757805</v>
      </c>
      <c r="Q20">
        <v>4</v>
      </c>
      <c r="R20" s="157">
        <f t="shared" si="1"/>
        <v>311.71194703999998</v>
      </c>
      <c r="T20" s="157">
        <f t="shared" si="2"/>
        <v>16.185705197455661</v>
      </c>
      <c r="V20" s="157">
        <f t="shared" si="3"/>
        <v>424.94908354891368</v>
      </c>
    </row>
    <row r="21" spans="6:25" x14ac:dyDescent="0.2">
      <c r="F21" s="158">
        <f>PV(0.04,22,G15+0.25)</f>
        <v>-26.829936393277674</v>
      </c>
      <c r="P21">
        <f t="shared" si="0"/>
        <v>64.793639330473994</v>
      </c>
      <c r="Q21">
        <v>5</v>
      </c>
      <c r="R21" s="157">
        <f t="shared" si="1"/>
        <v>311.71194703999998</v>
      </c>
      <c r="T21" s="157">
        <f t="shared" si="2"/>
        <v>15.874441635966127</v>
      </c>
      <c r="V21" s="157">
        <f t="shared" si="3"/>
        <v>416.77698578835759</v>
      </c>
    </row>
    <row r="22" spans="6:25" x14ac:dyDescent="0.2">
      <c r="P22">
        <f t="shared" si="0"/>
        <v>63.547607804887953</v>
      </c>
      <c r="Q22">
        <v>6</v>
      </c>
      <c r="R22" s="157">
        <f t="shared" si="1"/>
        <v>311.71194703999998</v>
      </c>
      <c r="T22" s="157">
        <f t="shared" si="2"/>
        <v>15.569163912197549</v>
      </c>
      <c r="V22" s="157">
        <f t="shared" si="3"/>
        <v>408.76204375396611</v>
      </c>
    </row>
    <row r="23" spans="6:25" x14ac:dyDescent="0.2">
      <c r="P23">
        <f t="shared" si="0"/>
        <v>62.325538424024714</v>
      </c>
      <c r="Q23">
        <v>7</v>
      </c>
      <c r="R23" s="157">
        <f t="shared" si="1"/>
        <v>311.71194703999998</v>
      </c>
      <c r="T23" s="157">
        <f t="shared" si="2"/>
        <v>15.269756913886054</v>
      </c>
      <c r="V23" s="157">
        <f t="shared" si="3"/>
        <v>400.901235220236</v>
      </c>
    </row>
    <row r="24" spans="6:25" x14ac:dyDescent="0.2">
      <c r="P24">
        <f t="shared" si="0"/>
        <v>61.126970377408853</v>
      </c>
      <c r="Q24">
        <v>8</v>
      </c>
      <c r="R24" s="157">
        <f t="shared" si="1"/>
        <v>311.71194703999998</v>
      </c>
      <c r="T24" s="157">
        <f t="shared" si="2"/>
        <v>14.976107742465169</v>
      </c>
      <c r="V24" s="157">
        <f t="shared" si="3"/>
        <v>393.19159608138523</v>
      </c>
    </row>
    <row r="25" spans="6:25" x14ac:dyDescent="0.2">
      <c r="P25">
        <f t="shared" si="0"/>
        <v>59.951451716304831</v>
      </c>
      <c r="Q25">
        <v>9</v>
      </c>
      <c r="R25" s="157">
        <f t="shared" si="1"/>
        <v>311.71194703999998</v>
      </c>
      <c r="T25" s="157">
        <f t="shared" si="2"/>
        <v>14.688105670494684</v>
      </c>
      <c r="V25" s="157">
        <f t="shared" si="3"/>
        <v>385.63021923366625</v>
      </c>
    </row>
    <row r="26" spans="6:25" x14ac:dyDescent="0.2">
      <c r="P26">
        <f t="shared" si="0"/>
        <v>58.798539183298963</v>
      </c>
      <c r="Q26">
        <v>10</v>
      </c>
      <c r="R26" s="157">
        <f t="shared" si="1"/>
        <v>311.71194703999998</v>
      </c>
      <c r="T26" s="157">
        <f t="shared" si="2"/>
        <v>14.405642099908247</v>
      </c>
      <c r="V26" s="157">
        <f t="shared" si="3"/>
        <v>378.21425347917273</v>
      </c>
    </row>
    <row r="27" spans="6:25" x14ac:dyDescent="0.2">
      <c r="P27">
        <f t="shared" si="0"/>
        <v>57.667798045158598</v>
      </c>
      <c r="Q27">
        <v>11</v>
      </c>
      <c r="R27" s="157">
        <f t="shared" si="1"/>
        <v>311.71194703999998</v>
      </c>
      <c r="T27" s="157">
        <f t="shared" si="2"/>
        <v>14.128610521063855</v>
      </c>
      <c r="V27" s="157">
        <f t="shared" si="3"/>
        <v>370.94090245072704</v>
      </c>
    </row>
    <row r="28" spans="6:25" x14ac:dyDescent="0.2">
      <c r="P28">
        <f t="shared" si="0"/>
        <v>56.558801928905545</v>
      </c>
      <c r="Q28">
        <v>12</v>
      </c>
      <c r="R28" s="157">
        <f t="shared" si="1"/>
        <v>311.71194703999998</v>
      </c>
      <c r="T28" s="157">
        <f t="shared" si="2"/>
        <v>13.856906472581858</v>
      </c>
      <c r="V28" s="157">
        <f t="shared" si="3"/>
        <v>363.80742355744383</v>
      </c>
    </row>
    <row r="29" spans="6:25" x14ac:dyDescent="0.2">
      <c r="P29">
        <f t="shared" si="0"/>
        <v>55.47113266104197</v>
      </c>
      <c r="Q29">
        <v>13</v>
      </c>
      <c r="R29" s="157">
        <f t="shared" si="1"/>
        <v>311.71194703999998</v>
      </c>
      <c r="T29" s="157">
        <f t="shared" si="2"/>
        <v>13.590427501955283</v>
      </c>
      <c r="V29" s="157">
        <f t="shared" si="3"/>
        <v>356.81112695056981</v>
      </c>
    </row>
    <row r="30" spans="6:25" x14ac:dyDescent="0.2">
      <c r="P30">
        <f t="shared" si="0"/>
        <v>54.404380109868093</v>
      </c>
      <c r="Q30">
        <v>14</v>
      </c>
      <c r="R30" s="157">
        <f t="shared" si="1"/>
        <v>311.71194703999998</v>
      </c>
      <c r="T30" s="157">
        <f t="shared" si="2"/>
        <v>13.329073126917685</v>
      </c>
      <c r="V30" s="157">
        <f t="shared" si="3"/>
        <v>349.94937450921276</v>
      </c>
    </row>
    <row r="31" spans="6:25" x14ac:dyDescent="0.2">
      <c r="F31">
        <v>11300</v>
      </c>
      <c r="H31">
        <f>4200</f>
        <v>4200</v>
      </c>
      <c r="J31">
        <f>4000/29.3</f>
        <v>136.51877133105802</v>
      </c>
      <c r="P31">
        <f t="shared" si="0"/>
        <v>53.358142030832155</v>
      </c>
      <c r="Q31">
        <v>15</v>
      </c>
      <c r="R31" s="157">
        <f t="shared" si="1"/>
        <v>311.71194703999998</v>
      </c>
      <c r="T31" s="157">
        <f t="shared" si="2"/>
        <v>13.072744797553879</v>
      </c>
      <c r="V31" s="157">
        <f t="shared" si="3"/>
        <v>343.21957884557401</v>
      </c>
    </row>
    <row r="32" spans="6:25" x14ac:dyDescent="0.2">
      <c r="F32">
        <f>F31-400</f>
        <v>10900</v>
      </c>
      <c r="G32">
        <v>101</v>
      </c>
      <c r="H32">
        <f>H31*0.175</f>
        <v>735</v>
      </c>
      <c r="P32">
        <f t="shared" si="0"/>
        <v>52.332023914854616</v>
      </c>
      <c r="Q32">
        <v>16</v>
      </c>
      <c r="R32" s="157">
        <f t="shared" si="1"/>
        <v>311.71194703999998</v>
      </c>
      <c r="T32" s="157">
        <f t="shared" si="2"/>
        <v>12.821345859139381</v>
      </c>
      <c r="V32" s="157">
        <f t="shared" si="3"/>
        <v>336.61920232931288</v>
      </c>
    </row>
    <row r="33" spans="6:22" x14ac:dyDescent="0.2">
      <c r="F33">
        <f>F32/29.3</f>
        <v>372.0136518771331</v>
      </c>
      <c r="G33">
        <f>G32*0.175</f>
        <v>17.674999999999997</v>
      </c>
      <c r="P33">
        <f t="shared" si="0"/>
        <v>51.325638839568953</v>
      </c>
      <c r="Q33">
        <v>17</v>
      </c>
      <c r="R33" s="157">
        <f t="shared" si="1"/>
        <v>311.71194703999993</v>
      </c>
      <c r="T33" s="157">
        <f t="shared" si="2"/>
        <v>12.574781515694392</v>
      </c>
      <c r="V33" s="157">
        <f t="shared" si="3"/>
        <v>330.14575613067228</v>
      </c>
    </row>
    <row r="34" spans="6:22" x14ac:dyDescent="0.2">
      <c r="F34">
        <f>F33*1.138</f>
        <v>423.35153583617745</v>
      </c>
      <c r="G34">
        <f>400*0.175+G33</f>
        <v>87.674999999999997</v>
      </c>
      <c r="P34">
        <f t="shared" si="0"/>
        <v>50.338607323423389</v>
      </c>
      <c r="Q34">
        <v>18</v>
      </c>
      <c r="R34" s="157">
        <f t="shared" si="1"/>
        <v>311.71194703999998</v>
      </c>
      <c r="T34" s="157">
        <f t="shared" si="2"/>
        <v>12.33295879423873</v>
      </c>
      <c r="V34" s="157">
        <f t="shared" si="3"/>
        <v>323.79679928200551</v>
      </c>
    </row>
    <row r="35" spans="6:22" x14ac:dyDescent="0.2">
      <c r="P35">
        <f t="shared" si="0"/>
        <v>49.370557182588314</v>
      </c>
      <c r="Q35">
        <v>19</v>
      </c>
      <c r="R35" s="157">
        <f t="shared" si="1"/>
        <v>311.71194703999998</v>
      </c>
      <c r="T35" s="157">
        <f t="shared" si="2"/>
        <v>12.095786509734138</v>
      </c>
      <c r="V35" s="157">
        <f t="shared" si="3"/>
        <v>317.56993775735157</v>
      </c>
    </row>
    <row r="36" spans="6:22" x14ac:dyDescent="0.2">
      <c r="P36">
        <f t="shared" si="0"/>
        <v>48.42112339061547</v>
      </c>
      <c r="Q36">
        <v>20</v>
      </c>
      <c r="R36" s="157">
        <f t="shared" si="1"/>
        <v>311.71194703999998</v>
      </c>
      <c r="T36" s="157">
        <f t="shared" si="2"/>
        <v>11.86317523070079</v>
      </c>
      <c r="V36" s="157">
        <f t="shared" si="3"/>
        <v>311.46282356971017</v>
      </c>
    </row>
    <row r="37" spans="6:22" x14ac:dyDescent="0.2">
      <c r="P37">
        <f t="shared" si="0"/>
        <v>47.489947940795922</v>
      </c>
      <c r="Q37">
        <v>21</v>
      </c>
      <c r="R37" s="157">
        <f t="shared" si="1"/>
        <v>311.71194703999998</v>
      </c>
      <c r="T37" s="157">
        <f t="shared" si="2"/>
        <v>11.635037245495003</v>
      </c>
      <c r="V37" s="157">
        <f t="shared" si="3"/>
        <v>305.47315388567716</v>
      </c>
    </row>
    <row r="38" spans="6:22" x14ac:dyDescent="0.2">
      <c r="I38">
        <v>400</v>
      </c>
      <c r="P38">
        <f t="shared" si="0"/>
        <v>46.576679711165241</v>
      </c>
      <c r="Q38">
        <v>22</v>
      </c>
      <c r="R38" s="157">
        <f t="shared" si="1"/>
        <v>311.71194703999998</v>
      </c>
      <c r="T38" s="157">
        <f t="shared" si="2"/>
        <v>11.411286529235484</v>
      </c>
      <c r="V38" s="157">
        <f t="shared" si="3"/>
        <v>299.59867015710654</v>
      </c>
    </row>
    <row r="39" spans="6:22" x14ac:dyDescent="0.2">
      <c r="F39">
        <v>8491.44</v>
      </c>
      <c r="G39">
        <v>17.55</v>
      </c>
      <c r="H39">
        <v>5987</v>
      </c>
      <c r="I39">
        <f>I38*0.23</f>
        <v>92</v>
      </c>
      <c r="K39">
        <f>H39/3412</f>
        <v>1.7546893317702228</v>
      </c>
      <c r="T39" s="157"/>
    </row>
    <row r="40" spans="6:22" x14ac:dyDescent="0.2">
      <c r="F40">
        <v>7761.17</v>
      </c>
      <c r="G40">
        <v>216</v>
      </c>
      <c r="H40">
        <f>H39*10^6/100000</f>
        <v>59870</v>
      </c>
    </row>
    <row r="42" spans="6:22" x14ac:dyDescent="0.2">
      <c r="F42">
        <f>F39*10^6/100000</f>
        <v>84914.400000000009</v>
      </c>
      <c r="G42">
        <f>F42*6.1/1000</f>
        <v>517.97784000000001</v>
      </c>
      <c r="I42" s="5">
        <f>H40*13.9</f>
        <v>832193</v>
      </c>
    </row>
    <row r="46" spans="6:22" x14ac:dyDescent="0.2">
      <c r="F46">
        <f>170*29.3</f>
        <v>4981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M14" sqref="M14:O14"/>
    </sheetView>
  </sheetViews>
  <sheetFormatPr baseColWidth="10" defaultRowHeight="16" x14ac:dyDescent="0.2"/>
  <sheetData>
    <row r="3" spans="1:11" x14ac:dyDescent="0.2">
      <c r="I3">
        <v>400</v>
      </c>
      <c r="J3">
        <v>600</v>
      </c>
    </row>
    <row r="4" spans="1:11" x14ac:dyDescent="0.2">
      <c r="I4">
        <f>I3/29.3</f>
        <v>13.651877133105801</v>
      </c>
      <c r="J4">
        <f>J3/29.3</f>
        <v>20.477815699658702</v>
      </c>
    </row>
    <row r="7" spans="1:11" x14ac:dyDescent="0.2">
      <c r="A7" t="s">
        <v>212</v>
      </c>
      <c r="C7" t="s">
        <v>211</v>
      </c>
      <c r="D7">
        <v>11.2</v>
      </c>
      <c r="I7" t="s">
        <v>739</v>
      </c>
      <c r="J7" t="s">
        <v>740</v>
      </c>
      <c r="K7" t="s">
        <v>741</v>
      </c>
    </row>
    <row r="8" spans="1:11" x14ac:dyDescent="0.2">
      <c r="C8" t="s">
        <v>213</v>
      </c>
      <c r="D8">
        <f>D7/3</f>
        <v>3.7333333333333329</v>
      </c>
    </row>
    <row r="9" spans="1:11" x14ac:dyDescent="0.2">
      <c r="I9">
        <v>0.22055130000000001</v>
      </c>
      <c r="J9">
        <v>0.22017600000000001</v>
      </c>
      <c r="K9">
        <v>0.78700409999999998</v>
      </c>
    </row>
    <row r="10" spans="1:11" x14ac:dyDescent="0.2">
      <c r="I10">
        <f>I13/I14</f>
        <v>30.227812304940031</v>
      </c>
      <c r="J10">
        <f>J13/J14</f>
        <v>33.718827484397295</v>
      </c>
      <c r="K10">
        <f>K13/K14</f>
        <v>31.28688449293707</v>
      </c>
    </row>
    <row r="11" spans="1:11" x14ac:dyDescent="0.2">
      <c r="D11">
        <f>1/0.58</f>
        <v>1.7241379310344829</v>
      </c>
    </row>
    <row r="13" spans="1:11" x14ac:dyDescent="0.2">
      <c r="I13">
        <v>2896.4256500000001</v>
      </c>
      <c r="J13">
        <v>673.12524399999995</v>
      </c>
      <c r="K13">
        <v>4974.9188961999998</v>
      </c>
    </row>
    <row r="14" spans="1:11" x14ac:dyDescent="0.2">
      <c r="I14">
        <v>95.819890000000001</v>
      </c>
      <c r="J14">
        <v>19.962890000000002</v>
      </c>
      <c r="K14">
        <v>159.00972490000001</v>
      </c>
    </row>
    <row r="16" spans="1:11" x14ac:dyDescent="0.2">
      <c r="I16">
        <f>I14/I$9</f>
        <v>434.45624668727862</v>
      </c>
      <c r="J16">
        <f>J14/J$9</f>
        <v>90.66787479107623</v>
      </c>
      <c r="K16">
        <f>K14/K$9</f>
        <v>202.0443411921234</v>
      </c>
    </row>
    <row r="18" spans="3:11" x14ac:dyDescent="0.2">
      <c r="C18">
        <v>323.47000000000003</v>
      </c>
      <c r="D18">
        <v>129.66999999999999</v>
      </c>
      <c r="F18">
        <f>D18/C18</f>
        <v>0.40087179645716753</v>
      </c>
      <c r="I18">
        <f>I16+$I$3/29.3</f>
        <v>448.10812382038444</v>
      </c>
      <c r="J18">
        <f>J16+$I$3/29.3</f>
        <v>104.31975192418203</v>
      </c>
      <c r="K18">
        <f>K16+$I$3/29.3</f>
        <v>215.69621832522921</v>
      </c>
    </row>
    <row r="19" spans="3:11" x14ac:dyDescent="0.2">
      <c r="C19">
        <v>288.35000000000002</v>
      </c>
      <c r="D19">
        <v>76.227500000000006</v>
      </c>
      <c r="F19">
        <f>D19/C19</f>
        <v>0.2643575515866135</v>
      </c>
    </row>
    <row r="20" spans="3:11" x14ac:dyDescent="0.2">
      <c r="I20">
        <f>I16+$J$3/29.3</f>
        <v>454.93406238693734</v>
      </c>
      <c r="J20">
        <f>J16+$J$3/29.3</f>
        <v>111.14569049073494</v>
      </c>
      <c r="K20">
        <f>K16+$J$3/29.3</f>
        <v>222.52215689178209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0"/>
  <sheetViews>
    <sheetView topLeftCell="C1" workbookViewId="0">
      <selection activeCell="C1" sqref="A1:XFD1048576"/>
    </sheetView>
  </sheetViews>
  <sheetFormatPr baseColWidth="10" defaultRowHeight="16" x14ac:dyDescent="0.2"/>
  <cols>
    <col min="2" max="2" width="23.33203125" customWidth="1"/>
    <col min="3" max="3" width="18" customWidth="1"/>
  </cols>
  <sheetData>
    <row r="3" spans="3:18" x14ac:dyDescent="0.2">
      <c r="C3" t="s">
        <v>84</v>
      </c>
      <c r="F3">
        <v>2018</v>
      </c>
      <c r="I3" t="s">
        <v>118</v>
      </c>
    </row>
    <row r="4" spans="3:18" x14ac:dyDescent="0.2">
      <c r="F4" t="s">
        <v>93</v>
      </c>
    </row>
    <row r="6" spans="3:18" x14ac:dyDescent="0.2">
      <c r="C6" t="s">
        <v>80</v>
      </c>
      <c r="D6" t="s">
        <v>86</v>
      </c>
      <c r="F6" t="s">
        <v>144</v>
      </c>
      <c r="I6" t="s">
        <v>119</v>
      </c>
    </row>
    <row r="7" spans="3:18" x14ac:dyDescent="0.2">
      <c r="I7" t="s">
        <v>120</v>
      </c>
    </row>
    <row r="10" spans="3:18" x14ac:dyDescent="0.2">
      <c r="C10" t="s">
        <v>81</v>
      </c>
      <c r="D10" t="s">
        <v>87</v>
      </c>
      <c r="K10" t="s">
        <v>224</v>
      </c>
      <c r="M10" t="s">
        <v>223</v>
      </c>
      <c r="N10" t="s">
        <v>218</v>
      </c>
      <c r="O10" t="s">
        <v>216</v>
      </c>
      <c r="P10">
        <v>7.7</v>
      </c>
      <c r="R10">
        <f>P10/K11</f>
        <v>2.258064516129032</v>
      </c>
    </row>
    <row r="11" spans="3:18" x14ac:dyDescent="0.2">
      <c r="K11">
        <v>3.41</v>
      </c>
      <c r="O11" t="s">
        <v>217</v>
      </c>
      <c r="P11">
        <v>14.5</v>
      </c>
      <c r="R11">
        <f>P11/K11</f>
        <v>4.2521994134897358</v>
      </c>
    </row>
    <row r="13" spans="3:18" x14ac:dyDescent="0.2">
      <c r="M13" t="s">
        <v>223</v>
      </c>
      <c r="N13" t="s">
        <v>219</v>
      </c>
      <c r="O13" t="s">
        <v>217</v>
      </c>
      <c r="P13">
        <v>13</v>
      </c>
      <c r="R13">
        <f>P13/K11</f>
        <v>3.8123167155425217</v>
      </c>
    </row>
    <row r="14" spans="3:18" x14ac:dyDescent="0.2">
      <c r="C14" t="s">
        <v>83</v>
      </c>
      <c r="D14" t="s">
        <v>88</v>
      </c>
    </row>
    <row r="16" spans="3:18" x14ac:dyDescent="0.2">
      <c r="N16" t="s">
        <v>220</v>
      </c>
      <c r="O16" t="s">
        <v>221</v>
      </c>
      <c r="P16">
        <v>0.8</v>
      </c>
      <c r="Q16" t="s">
        <v>222</v>
      </c>
      <c r="R16">
        <v>0.9</v>
      </c>
    </row>
    <row r="19" spans="3:12" x14ac:dyDescent="0.2">
      <c r="C19" t="s">
        <v>85</v>
      </c>
      <c r="D19" t="s">
        <v>89</v>
      </c>
    </row>
    <row r="20" spans="3:12" x14ac:dyDescent="0.2">
      <c r="D20" t="s">
        <v>91</v>
      </c>
    </row>
    <row r="21" spans="3:12" x14ac:dyDescent="0.2">
      <c r="D21" t="s">
        <v>92</v>
      </c>
    </row>
    <row r="25" spans="3:12" x14ac:dyDescent="0.2">
      <c r="C25" t="s">
        <v>82</v>
      </c>
      <c r="D25" t="s">
        <v>90</v>
      </c>
    </row>
    <row r="27" spans="3:12" x14ac:dyDescent="0.2">
      <c r="K27" t="s">
        <v>145</v>
      </c>
      <c r="L27" t="s">
        <v>135</v>
      </c>
    </row>
    <row r="28" spans="3:12" x14ac:dyDescent="0.2">
      <c r="L28" t="s">
        <v>136</v>
      </c>
    </row>
    <row r="29" spans="3:12" x14ac:dyDescent="0.2">
      <c r="C29" t="s">
        <v>143</v>
      </c>
      <c r="L29" t="s">
        <v>137</v>
      </c>
    </row>
    <row r="30" spans="3:12" x14ac:dyDescent="0.2">
      <c r="C30" t="s">
        <v>178</v>
      </c>
      <c r="D30">
        <v>0.8</v>
      </c>
      <c r="E30" t="s">
        <v>151</v>
      </c>
      <c r="L30" t="s">
        <v>138</v>
      </c>
    </row>
    <row r="31" spans="3:12" x14ac:dyDescent="0.2">
      <c r="C31" t="s">
        <v>179</v>
      </c>
      <c r="D31">
        <v>0.95</v>
      </c>
      <c r="L31" t="s">
        <v>139</v>
      </c>
    </row>
    <row r="32" spans="3:12" x14ac:dyDescent="0.2">
      <c r="C32" t="s">
        <v>180</v>
      </c>
      <c r="D32">
        <v>0.99</v>
      </c>
      <c r="L32" t="s">
        <v>140</v>
      </c>
    </row>
    <row r="33" spans="2:12" x14ac:dyDescent="0.2">
      <c r="L33" t="s">
        <v>141</v>
      </c>
    </row>
    <row r="34" spans="2:12" x14ac:dyDescent="0.2">
      <c r="C34" t="s">
        <v>143</v>
      </c>
    </row>
    <row r="35" spans="2:12" x14ac:dyDescent="0.2">
      <c r="B35" t="s">
        <v>99</v>
      </c>
      <c r="C35" t="s">
        <v>152</v>
      </c>
      <c r="D35">
        <v>0.9</v>
      </c>
      <c r="E35" t="s">
        <v>159</v>
      </c>
      <c r="L35" t="s">
        <v>142</v>
      </c>
    </row>
    <row r="36" spans="2:12" x14ac:dyDescent="0.2">
      <c r="C36" t="s">
        <v>153</v>
      </c>
      <c r="D36">
        <v>0.96</v>
      </c>
    </row>
    <row r="38" spans="2:12" x14ac:dyDescent="0.2">
      <c r="B38" t="s">
        <v>146</v>
      </c>
      <c r="C38" t="s">
        <v>155</v>
      </c>
      <c r="D38">
        <v>2.2000000000000002</v>
      </c>
      <c r="E38" t="s">
        <v>160</v>
      </c>
    </row>
    <row r="39" spans="2:12" x14ac:dyDescent="0.2">
      <c r="C39" t="s">
        <v>154</v>
      </c>
      <c r="D39">
        <v>3</v>
      </c>
    </row>
    <row r="40" spans="2:12" x14ac:dyDescent="0.2">
      <c r="C40" t="s">
        <v>156</v>
      </c>
      <c r="D40">
        <v>3.5</v>
      </c>
    </row>
    <row r="42" spans="2:12" x14ac:dyDescent="0.2">
      <c r="B42" t="s">
        <v>147</v>
      </c>
      <c r="C42" t="s">
        <v>157</v>
      </c>
      <c r="D42">
        <f xml:space="preserve"> 2.2</f>
        <v>2.2000000000000002</v>
      </c>
      <c r="E42" t="s">
        <v>158</v>
      </c>
    </row>
    <row r="45" spans="2:12" x14ac:dyDescent="0.2">
      <c r="B45" s="8" t="s">
        <v>148</v>
      </c>
      <c r="C45" s="8" t="s">
        <v>149</v>
      </c>
      <c r="D45" s="8"/>
      <c r="E45" s="8"/>
      <c r="F45" s="8"/>
      <c r="G45" s="8"/>
      <c r="H45" s="8"/>
      <c r="I45" s="8"/>
    </row>
    <row r="46" spans="2:12" x14ac:dyDescent="0.2">
      <c r="B46" s="8"/>
      <c r="C46" s="8" t="s">
        <v>150</v>
      </c>
      <c r="D46" s="8"/>
      <c r="E46" s="8"/>
      <c r="F46" s="8"/>
      <c r="G46" s="8"/>
      <c r="H46" s="8"/>
      <c r="I46" s="8"/>
    </row>
    <row r="47" spans="2:12" x14ac:dyDescent="0.2">
      <c r="B47" s="8"/>
      <c r="C47" s="8" t="s">
        <v>161</v>
      </c>
      <c r="D47" s="8"/>
      <c r="E47" s="8"/>
      <c r="F47" s="8"/>
      <c r="G47" s="8"/>
      <c r="H47" s="8"/>
      <c r="I47" s="8"/>
    </row>
    <row r="48" spans="2:12" x14ac:dyDescent="0.2">
      <c r="B48" s="8"/>
      <c r="C48" s="8" t="s">
        <v>163</v>
      </c>
      <c r="D48" s="8"/>
      <c r="E48" s="8"/>
      <c r="F48" s="8"/>
      <c r="G48" s="8"/>
      <c r="H48" s="8"/>
      <c r="I48" s="8"/>
    </row>
    <row r="49" spans="2:9" x14ac:dyDescent="0.2">
      <c r="B49" s="8"/>
      <c r="C49" s="8"/>
      <c r="D49" s="8"/>
      <c r="E49" s="8"/>
      <c r="F49" s="8"/>
      <c r="G49" s="8"/>
      <c r="H49" s="8"/>
      <c r="I49" s="8"/>
    </row>
    <row r="50" spans="2:9" x14ac:dyDescent="0.2">
      <c r="B50" s="8" t="s">
        <v>162</v>
      </c>
      <c r="C50" s="8"/>
      <c r="D50" s="8"/>
      <c r="E50" s="8"/>
      <c r="F50" s="8"/>
      <c r="G50" s="8"/>
      <c r="H50" s="8"/>
      <c r="I5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workbookViewId="0">
      <selection activeCell="C13" sqref="C13"/>
    </sheetView>
  </sheetViews>
  <sheetFormatPr baseColWidth="10" defaultRowHeight="16" x14ac:dyDescent="0.2"/>
  <cols>
    <col min="3" max="3" width="15" customWidth="1"/>
    <col min="5" max="5" width="12.83203125" customWidth="1"/>
    <col min="9" max="9" width="12.33203125" customWidth="1"/>
  </cols>
  <sheetData>
    <row r="2" spans="3:19" x14ac:dyDescent="0.2">
      <c r="C2" s="105" t="s">
        <v>94</v>
      </c>
      <c r="E2" t="s">
        <v>108</v>
      </c>
    </row>
    <row r="3" spans="3:19" x14ac:dyDescent="0.2">
      <c r="C3" s="112"/>
    </row>
    <row r="4" spans="3:19" x14ac:dyDescent="0.2">
      <c r="C4" s="106"/>
      <c r="D4" s="105"/>
      <c r="E4" s="109">
        <v>2018</v>
      </c>
      <c r="F4" s="13"/>
      <c r="H4" s="105"/>
      <c r="I4" s="109">
        <v>2025</v>
      </c>
      <c r="J4" s="13"/>
      <c r="L4" s="105"/>
      <c r="M4" s="109">
        <v>2030</v>
      </c>
      <c r="N4" s="13"/>
      <c r="P4" s="105"/>
      <c r="Q4" s="109">
        <v>2040</v>
      </c>
      <c r="R4" s="13"/>
    </row>
    <row r="5" spans="3:19" ht="48" x14ac:dyDescent="0.2">
      <c r="C5" s="106"/>
      <c r="D5" s="113" t="s">
        <v>109</v>
      </c>
      <c r="E5" s="110" t="s">
        <v>96</v>
      </c>
      <c r="F5" s="111" t="s">
        <v>95</v>
      </c>
      <c r="G5" s="100"/>
      <c r="H5" s="113" t="s">
        <v>109</v>
      </c>
      <c r="I5" s="110" t="s">
        <v>96</v>
      </c>
      <c r="J5" s="111" t="s">
        <v>103</v>
      </c>
      <c r="L5" s="113" t="s">
        <v>109</v>
      </c>
      <c r="M5" s="110" t="s">
        <v>96</v>
      </c>
      <c r="N5" s="111" t="s">
        <v>103</v>
      </c>
      <c r="P5" s="113" t="s">
        <v>109</v>
      </c>
      <c r="Q5" s="110" t="s">
        <v>96</v>
      </c>
      <c r="R5" s="111" t="s">
        <v>103</v>
      </c>
    </row>
    <row r="6" spans="3:19" x14ac:dyDescent="0.2">
      <c r="C6" s="107" t="s">
        <v>15</v>
      </c>
      <c r="D6" s="107">
        <v>1</v>
      </c>
      <c r="E6" s="17" t="s">
        <v>14</v>
      </c>
      <c r="F6" s="19" t="s">
        <v>97</v>
      </c>
      <c r="H6" s="107">
        <v>1</v>
      </c>
      <c r="I6" s="17" t="s">
        <v>83</v>
      </c>
      <c r="J6" s="19" t="s">
        <v>97</v>
      </c>
      <c r="L6" s="107">
        <v>1</v>
      </c>
      <c r="M6" s="17" t="s">
        <v>83</v>
      </c>
      <c r="N6" s="19" t="s">
        <v>97</v>
      </c>
      <c r="P6" s="107">
        <v>1</v>
      </c>
      <c r="Q6" s="17" t="s">
        <v>112</v>
      </c>
      <c r="R6" s="19" t="s">
        <v>113</v>
      </c>
    </row>
    <row r="7" spans="3:19" x14ac:dyDescent="0.2">
      <c r="C7" s="107"/>
      <c r="D7" s="107"/>
      <c r="E7" s="17"/>
      <c r="F7" s="19"/>
      <c r="H7" s="107"/>
      <c r="I7" s="17"/>
      <c r="J7" s="19"/>
      <c r="L7" s="107"/>
      <c r="M7" s="17"/>
      <c r="N7" s="19"/>
      <c r="P7" s="107"/>
      <c r="Q7" s="17"/>
      <c r="R7" s="19"/>
    </row>
    <row r="8" spans="3:19" ht="64" customHeight="1" x14ac:dyDescent="0.2">
      <c r="C8" s="107" t="s">
        <v>17</v>
      </c>
      <c r="D8" s="107">
        <v>2</v>
      </c>
      <c r="E8" s="17" t="s">
        <v>14</v>
      </c>
      <c r="F8" s="19" t="s">
        <v>98</v>
      </c>
      <c r="H8" s="107">
        <v>1</v>
      </c>
      <c r="I8" s="17" t="s">
        <v>114</v>
      </c>
      <c r="J8" s="71" t="s">
        <v>115</v>
      </c>
      <c r="L8" s="107">
        <v>1</v>
      </c>
      <c r="M8" s="17" t="s">
        <v>114</v>
      </c>
      <c r="N8" s="71" t="s">
        <v>113</v>
      </c>
      <c r="P8" s="107">
        <v>1</v>
      </c>
      <c r="Q8" s="17" t="s">
        <v>114</v>
      </c>
      <c r="R8" s="71" t="s">
        <v>114</v>
      </c>
      <c r="S8" t="s">
        <v>116</v>
      </c>
    </row>
    <row r="9" spans="3:19" x14ac:dyDescent="0.2">
      <c r="C9" s="107"/>
      <c r="D9" s="107"/>
      <c r="E9" s="17"/>
      <c r="F9" s="19"/>
      <c r="H9" s="107"/>
      <c r="I9" s="17"/>
      <c r="J9" s="19"/>
      <c r="L9" s="107"/>
      <c r="M9" s="17"/>
      <c r="N9" s="19"/>
      <c r="P9" s="107"/>
      <c r="Q9" s="17"/>
      <c r="R9" s="19"/>
      <c r="S9" t="s">
        <v>117</v>
      </c>
    </row>
    <row r="10" spans="3:19" x14ac:dyDescent="0.2">
      <c r="C10" s="107" t="s">
        <v>16</v>
      </c>
      <c r="D10" s="107">
        <v>1</v>
      </c>
      <c r="E10" s="17" t="s">
        <v>99</v>
      </c>
      <c r="F10" s="19" t="s">
        <v>97</v>
      </c>
      <c r="H10" s="107">
        <v>1</v>
      </c>
      <c r="I10" s="17" t="s">
        <v>105</v>
      </c>
      <c r="J10" s="19" t="s">
        <v>104</v>
      </c>
      <c r="L10" s="107">
        <v>1</v>
      </c>
      <c r="M10" s="17" t="s">
        <v>105</v>
      </c>
      <c r="N10" s="19" t="s">
        <v>104</v>
      </c>
      <c r="P10" s="107">
        <v>1</v>
      </c>
      <c r="Q10" s="17" t="s">
        <v>105</v>
      </c>
      <c r="R10" s="19" t="s">
        <v>104</v>
      </c>
    </row>
    <row r="11" spans="3:19" x14ac:dyDescent="0.2">
      <c r="C11" s="107"/>
      <c r="D11" s="107"/>
      <c r="E11" s="17"/>
      <c r="F11" s="19"/>
      <c r="H11" s="107"/>
      <c r="I11" s="17"/>
      <c r="J11" s="19"/>
      <c r="L11" s="107"/>
      <c r="M11" s="17"/>
      <c r="N11" s="19"/>
      <c r="P11" s="107"/>
      <c r="Q11" s="17"/>
      <c r="R11" s="19"/>
    </row>
    <row r="12" spans="3:19" x14ac:dyDescent="0.2">
      <c r="C12" s="107" t="s">
        <v>18</v>
      </c>
      <c r="D12" s="107">
        <v>2</v>
      </c>
      <c r="E12" s="17" t="s">
        <v>99</v>
      </c>
      <c r="F12" s="19" t="s">
        <v>100</v>
      </c>
      <c r="H12" s="107">
        <v>2</v>
      </c>
      <c r="I12" s="17" t="s">
        <v>110</v>
      </c>
      <c r="J12" s="19" t="s">
        <v>111</v>
      </c>
      <c r="L12" s="107">
        <v>1</v>
      </c>
      <c r="M12" s="17" t="s">
        <v>114</v>
      </c>
      <c r="N12" s="19" t="s">
        <v>113</v>
      </c>
      <c r="P12" s="107">
        <v>1</v>
      </c>
      <c r="Q12" s="17" t="s">
        <v>114</v>
      </c>
      <c r="R12" s="19" t="s">
        <v>113</v>
      </c>
    </row>
    <row r="13" spans="3:19" x14ac:dyDescent="0.2">
      <c r="C13" s="107"/>
      <c r="D13" s="107"/>
      <c r="E13" s="17"/>
      <c r="F13" s="19"/>
      <c r="H13" s="107"/>
      <c r="I13" s="17"/>
      <c r="J13" s="19"/>
      <c r="L13" s="107"/>
      <c r="M13" s="17"/>
      <c r="N13" s="19"/>
      <c r="P13" s="107"/>
      <c r="Q13" s="17"/>
      <c r="R13" s="19"/>
    </row>
    <row r="14" spans="3:19" x14ac:dyDescent="0.2">
      <c r="C14" s="107"/>
      <c r="D14" s="107"/>
      <c r="E14" s="17"/>
      <c r="F14" s="19"/>
      <c r="H14" s="107"/>
      <c r="I14" s="17"/>
      <c r="J14" s="19"/>
      <c r="L14" s="107"/>
      <c r="M14" s="17"/>
      <c r="N14" s="19"/>
      <c r="P14" s="107"/>
      <c r="Q14" s="17"/>
      <c r="R14" s="19"/>
    </row>
    <row r="15" spans="3:19" x14ac:dyDescent="0.2">
      <c r="C15" s="107" t="s">
        <v>63</v>
      </c>
      <c r="D15" s="107"/>
      <c r="E15" s="17" t="s">
        <v>101</v>
      </c>
      <c r="F15" s="19"/>
      <c r="H15" s="107"/>
      <c r="I15" s="17"/>
      <c r="J15" s="19"/>
      <c r="L15" s="107"/>
      <c r="M15" s="17"/>
      <c r="N15" s="19"/>
      <c r="P15" s="107"/>
      <c r="Q15" s="17"/>
      <c r="R15" s="19"/>
    </row>
    <row r="16" spans="3:19" x14ac:dyDescent="0.2">
      <c r="C16" s="107"/>
      <c r="D16" s="107"/>
      <c r="E16" s="17" t="s">
        <v>102</v>
      </c>
      <c r="F16" s="19"/>
      <c r="H16" s="107"/>
      <c r="I16" s="17"/>
      <c r="J16" s="19"/>
      <c r="L16" s="107"/>
      <c r="M16" s="17"/>
      <c r="N16" s="19"/>
      <c r="P16" s="107"/>
      <c r="Q16" s="17"/>
      <c r="R16" s="19"/>
    </row>
    <row r="17" spans="1:21" x14ac:dyDescent="0.2">
      <c r="C17" s="107" t="s">
        <v>65</v>
      </c>
      <c r="D17" s="107"/>
      <c r="E17" s="17"/>
      <c r="F17" s="19"/>
      <c r="H17" s="107"/>
      <c r="I17" s="17"/>
      <c r="J17" s="19"/>
      <c r="L17" s="107"/>
      <c r="M17" s="17"/>
      <c r="N17" s="19"/>
      <c r="P17" s="107"/>
      <c r="Q17" s="17"/>
      <c r="R17" s="19"/>
    </row>
    <row r="18" spans="1:21" x14ac:dyDescent="0.2">
      <c r="C18" s="107"/>
      <c r="D18" s="107"/>
      <c r="E18" s="17"/>
      <c r="F18" s="19"/>
      <c r="H18" s="107"/>
      <c r="I18" s="17"/>
      <c r="J18" s="19"/>
      <c r="L18" s="107"/>
      <c r="M18" s="17"/>
      <c r="N18" s="19"/>
      <c r="P18" s="107"/>
      <c r="Q18" s="17"/>
      <c r="R18" s="19"/>
    </row>
    <row r="19" spans="1:21" x14ac:dyDescent="0.2">
      <c r="C19" s="107" t="s">
        <v>64</v>
      </c>
      <c r="D19" s="107"/>
      <c r="E19" s="17"/>
      <c r="F19" s="19"/>
      <c r="H19" s="107"/>
      <c r="I19" s="17"/>
      <c r="J19" s="19"/>
      <c r="L19" s="107"/>
      <c r="M19" s="17"/>
      <c r="N19" s="19"/>
      <c r="P19" s="107"/>
      <c r="Q19" s="17"/>
      <c r="R19" s="19"/>
    </row>
    <row r="20" spans="1:21" x14ac:dyDescent="0.2">
      <c r="C20" s="107"/>
      <c r="D20" s="107"/>
      <c r="E20" s="17"/>
      <c r="F20" s="19"/>
      <c r="H20" s="107"/>
      <c r="I20" s="17"/>
      <c r="J20" s="19"/>
      <c r="L20" s="107"/>
      <c r="M20" s="17"/>
      <c r="N20" s="19"/>
      <c r="P20" s="107"/>
      <c r="Q20" s="17"/>
      <c r="R20" s="19"/>
    </row>
    <row r="21" spans="1:21" x14ac:dyDescent="0.2">
      <c r="C21" s="108" t="s">
        <v>66</v>
      </c>
      <c r="D21" s="108"/>
      <c r="E21" s="43"/>
      <c r="F21" s="45"/>
      <c r="H21" s="108"/>
      <c r="I21" s="43"/>
      <c r="J21" s="45"/>
      <c r="L21" s="108"/>
      <c r="M21" s="43"/>
      <c r="N21" s="45"/>
      <c r="P21" s="108"/>
      <c r="Q21" s="43"/>
      <c r="R21" s="45"/>
    </row>
    <row r="23" spans="1:21" x14ac:dyDescent="0.2">
      <c r="A23" s="8" t="s">
        <v>168</v>
      </c>
      <c r="B23" s="8"/>
      <c r="C23" s="8" t="s">
        <v>166</v>
      </c>
    </row>
    <row r="24" spans="1:21" x14ac:dyDescent="0.2">
      <c r="A24" s="8" t="s">
        <v>169</v>
      </c>
      <c r="B24" s="8"/>
      <c r="C24" s="8"/>
      <c r="S24" s="10" t="s">
        <v>106</v>
      </c>
      <c r="T24" s="11" t="s">
        <v>107</v>
      </c>
      <c r="U24" s="13" t="s">
        <v>26</v>
      </c>
    </row>
    <row r="25" spans="1:21" x14ac:dyDescent="0.2">
      <c r="A25" s="8" t="s">
        <v>170</v>
      </c>
      <c r="B25" s="8"/>
      <c r="C25" s="8"/>
      <c r="S25" s="17" t="s">
        <v>12</v>
      </c>
      <c r="T25" s="101">
        <v>0.9</v>
      </c>
      <c r="U25" s="102">
        <v>0.1</v>
      </c>
    </row>
    <row r="26" spans="1:21" x14ac:dyDescent="0.2">
      <c r="A26" s="8" t="s">
        <v>171</v>
      </c>
      <c r="B26" s="8"/>
      <c r="C26" s="8"/>
      <c r="S26" s="43" t="s">
        <v>41</v>
      </c>
      <c r="T26" s="103">
        <v>0.7</v>
      </c>
      <c r="U26" s="104">
        <v>0.3</v>
      </c>
    </row>
    <row r="27" spans="1:21" x14ac:dyDescent="0.2">
      <c r="A27" s="8"/>
      <c r="B27" s="8"/>
      <c r="C27" s="8" t="s">
        <v>167</v>
      </c>
    </row>
    <row r="28" spans="1:21" ht="28" customHeight="1" x14ac:dyDescent="0.2"/>
    <row r="29" spans="1:21" ht="28" customHeight="1" x14ac:dyDescent="0.2"/>
    <row r="30" spans="1:21" ht="28" customHeight="1" x14ac:dyDescent="0.2"/>
    <row r="31" spans="1:21" ht="28" customHeight="1" x14ac:dyDescent="0.2"/>
    <row r="32" spans="1:21" ht="28" customHeight="1" x14ac:dyDescent="0.2"/>
    <row r="33" spans="3:7" ht="28" customHeight="1" x14ac:dyDescent="0.2"/>
    <row r="34" spans="3:7" ht="28" customHeight="1" x14ac:dyDescent="0.2"/>
    <row r="35" spans="3:7" ht="28" customHeight="1" x14ac:dyDescent="0.2"/>
    <row r="36" spans="3:7" ht="28" customHeight="1" x14ac:dyDescent="0.2"/>
    <row r="37" spans="3:7" ht="28" customHeight="1" x14ac:dyDescent="0.2"/>
    <row r="40" spans="3:7" x14ac:dyDescent="0.2">
      <c r="C40" s="8" t="s">
        <v>121</v>
      </c>
      <c r="D40" s="8"/>
      <c r="E40" s="8"/>
      <c r="F40" s="8"/>
      <c r="G40" s="8"/>
    </row>
    <row r="41" spans="3:7" x14ac:dyDescent="0.2">
      <c r="C41" s="8" t="s">
        <v>122</v>
      </c>
      <c r="D41" s="8"/>
      <c r="E41" s="8"/>
      <c r="F41" s="8"/>
      <c r="G41" s="8"/>
    </row>
    <row r="42" spans="3:7" x14ac:dyDescent="0.2">
      <c r="C42" s="8"/>
      <c r="D42" s="8"/>
      <c r="E42" s="8"/>
      <c r="F42" s="8"/>
      <c r="G42" s="8"/>
    </row>
    <row r="43" spans="3:7" x14ac:dyDescent="0.2">
      <c r="C43" s="8" t="s">
        <v>123</v>
      </c>
      <c r="D43" s="8"/>
      <c r="E43" s="8"/>
      <c r="F43" s="8"/>
      <c r="G43" s="8"/>
    </row>
    <row r="44" spans="3:7" x14ac:dyDescent="0.2">
      <c r="C44" s="8" t="s">
        <v>124</v>
      </c>
      <c r="D44" s="8"/>
      <c r="E44" s="8"/>
      <c r="F44" s="8"/>
      <c r="G44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4"/>
  <sheetViews>
    <sheetView zoomScale="120" zoomScaleNormal="120" zoomScalePageLayoutView="120" workbookViewId="0">
      <selection activeCell="D2" sqref="D2"/>
    </sheetView>
  </sheetViews>
  <sheetFormatPr baseColWidth="10" defaultColWidth="8.83203125" defaultRowHeight="16" x14ac:dyDescent="0.2"/>
  <cols>
    <col min="2" max="2" width="10.83203125" customWidth="1"/>
    <col min="48" max="49" width="9.33203125" bestFit="1" customWidth="1"/>
    <col min="50" max="50" width="9" bestFit="1" customWidth="1"/>
  </cols>
  <sheetData>
    <row r="1" spans="1:50" ht="19" x14ac:dyDescent="0.25">
      <c r="A1" s="120" t="s">
        <v>165</v>
      </c>
      <c r="B1" s="120"/>
      <c r="C1" s="120"/>
      <c r="D1" s="120"/>
      <c r="I1" s="122" t="s">
        <v>126</v>
      </c>
      <c r="J1" s="121"/>
      <c r="K1" s="121"/>
      <c r="L1" s="122" t="s">
        <v>125</v>
      </c>
      <c r="M1" s="122"/>
      <c r="N1" s="122"/>
      <c r="O1" s="122"/>
      <c r="P1" s="121"/>
      <c r="Q1" s="121"/>
    </row>
    <row r="2" spans="1:50" x14ac:dyDescent="0.2">
      <c r="A2" s="123" t="s">
        <v>164</v>
      </c>
      <c r="B2" s="123"/>
      <c r="C2" s="123"/>
      <c r="D2" s="123"/>
      <c r="E2" s="123"/>
      <c r="I2" s="121" t="s">
        <v>62</v>
      </c>
      <c r="J2" s="121"/>
      <c r="K2" s="121"/>
    </row>
    <row r="4" spans="1:50" x14ac:dyDescent="0.2">
      <c r="A4">
        <v>3</v>
      </c>
    </row>
    <row r="6" spans="1:50" x14ac:dyDescent="0.2">
      <c r="B6">
        <v>2019</v>
      </c>
      <c r="C6" t="s">
        <v>15</v>
      </c>
      <c r="H6" t="s">
        <v>16</v>
      </c>
      <c r="M6" t="s">
        <v>17</v>
      </c>
      <c r="R6" t="s">
        <v>18</v>
      </c>
      <c r="W6" t="s">
        <v>63</v>
      </c>
      <c r="AB6" t="s">
        <v>64</v>
      </c>
      <c r="AG6" t="s">
        <v>65</v>
      </c>
      <c r="AL6" t="s">
        <v>66</v>
      </c>
      <c r="AV6" s="5" t="s">
        <v>173</v>
      </c>
      <c r="AW6" s="5" t="s">
        <v>174</v>
      </c>
      <c r="AX6" s="5" t="s">
        <v>177</v>
      </c>
    </row>
    <row r="7" spans="1:50" x14ac:dyDescent="0.2">
      <c r="B7" t="s">
        <v>181</v>
      </c>
      <c r="C7" t="s">
        <v>67</v>
      </c>
      <c r="D7" t="s">
        <v>68</v>
      </c>
      <c r="E7" t="s">
        <v>69</v>
      </c>
      <c r="F7" t="s">
        <v>70</v>
      </c>
      <c r="G7" t="s">
        <v>181</v>
      </c>
      <c r="H7" t="s">
        <v>67</v>
      </c>
      <c r="I7" t="s">
        <v>68</v>
      </c>
      <c r="J7" t="s">
        <v>69</v>
      </c>
      <c r="K7" t="s">
        <v>70</v>
      </c>
      <c r="L7" t="s">
        <v>181</v>
      </c>
      <c r="M7" t="s">
        <v>67</v>
      </c>
      <c r="N7" t="s">
        <v>68</v>
      </c>
      <c r="O7" t="s">
        <v>69</v>
      </c>
      <c r="P7" t="s">
        <v>70</v>
      </c>
      <c r="Q7" t="s">
        <v>181</v>
      </c>
      <c r="R7" t="s">
        <v>67</v>
      </c>
      <c r="S7" t="s">
        <v>68</v>
      </c>
      <c r="T7" t="s">
        <v>69</v>
      </c>
      <c r="U7" t="s">
        <v>70</v>
      </c>
      <c r="V7" t="s">
        <v>181</v>
      </c>
      <c r="W7" t="s">
        <v>67</v>
      </c>
      <c r="X7" t="s">
        <v>68</v>
      </c>
      <c r="Y7" t="s">
        <v>69</v>
      </c>
      <c r="Z7" t="s">
        <v>70</v>
      </c>
      <c r="AA7" t="s">
        <v>181</v>
      </c>
      <c r="AB7" t="s">
        <v>67</v>
      </c>
      <c r="AC7" t="s">
        <v>68</v>
      </c>
      <c r="AD7" t="s">
        <v>69</v>
      </c>
      <c r="AE7" t="s">
        <v>70</v>
      </c>
      <c r="AF7" t="s">
        <v>181</v>
      </c>
      <c r="AG7" t="s">
        <v>67</v>
      </c>
      <c r="AH7" t="s">
        <v>68</v>
      </c>
      <c r="AI7" t="s">
        <v>69</v>
      </c>
      <c r="AJ7" t="s">
        <v>70</v>
      </c>
      <c r="AK7" t="s">
        <v>181</v>
      </c>
      <c r="AL7" t="s">
        <v>67</v>
      </c>
      <c r="AM7" t="s">
        <v>68</v>
      </c>
      <c r="AN7" t="s">
        <v>69</v>
      </c>
      <c r="AO7" t="s">
        <v>70</v>
      </c>
      <c r="AS7" t="s">
        <v>182</v>
      </c>
      <c r="AV7" s="5" t="s">
        <v>175</v>
      </c>
      <c r="AW7" s="5" t="s">
        <v>176</v>
      </c>
      <c r="AX7" s="5" t="s">
        <v>176</v>
      </c>
    </row>
    <row r="8" spans="1:50" x14ac:dyDescent="0.2">
      <c r="A8">
        <v>1</v>
      </c>
      <c r="B8">
        <v>1</v>
      </c>
      <c r="C8">
        <v>7.3364997775229597</v>
      </c>
      <c r="D8">
        <v>0</v>
      </c>
      <c r="E8">
        <v>7.3364997775229597</v>
      </c>
      <c r="F8">
        <v>0</v>
      </c>
      <c r="G8">
        <v>1</v>
      </c>
      <c r="H8">
        <v>0</v>
      </c>
      <c r="I8">
        <v>7.3364997775229597</v>
      </c>
      <c r="J8">
        <v>7.3364997775229597</v>
      </c>
      <c r="K8">
        <v>0</v>
      </c>
      <c r="L8">
        <v>1</v>
      </c>
      <c r="M8">
        <v>7.3364997775229597</v>
      </c>
      <c r="N8">
        <v>4.6651687109996197E-2</v>
      </c>
      <c r="O8">
        <v>7.3364997775229597</v>
      </c>
      <c r="P8">
        <v>4.6651687109996197E-2</v>
      </c>
      <c r="Q8">
        <v>1</v>
      </c>
      <c r="R8">
        <v>0</v>
      </c>
      <c r="S8">
        <v>7.3831514646329603</v>
      </c>
      <c r="T8">
        <v>7.3364997775229597</v>
      </c>
      <c r="U8">
        <v>4.6651687109996197E-2</v>
      </c>
      <c r="V8">
        <v>1</v>
      </c>
      <c r="W8">
        <v>3.8228517217799198</v>
      </c>
      <c r="X8">
        <v>0</v>
      </c>
      <c r="Y8">
        <v>3.8228517217799198</v>
      </c>
      <c r="Z8">
        <v>0</v>
      </c>
      <c r="AA8">
        <v>1</v>
      </c>
      <c r="AB8">
        <v>0</v>
      </c>
      <c r="AC8">
        <v>3.8228517217799198</v>
      </c>
      <c r="AD8">
        <v>3.8228517217799198</v>
      </c>
      <c r="AE8">
        <v>0</v>
      </c>
      <c r="AF8">
        <v>1</v>
      </c>
      <c r="AG8">
        <v>3.8228517217799198</v>
      </c>
      <c r="AH8">
        <v>2.4308933115322898E-2</v>
      </c>
      <c r="AI8">
        <v>3.8228517217799198</v>
      </c>
      <c r="AJ8">
        <v>2.4308933115322898E-2</v>
      </c>
      <c r="AK8">
        <v>1</v>
      </c>
      <c r="AL8">
        <v>0</v>
      </c>
      <c r="AM8">
        <v>3.84716065489524</v>
      </c>
      <c r="AN8">
        <v>3.8228517217799198</v>
      </c>
      <c r="AO8">
        <v>2.4308933115322898E-2</v>
      </c>
      <c r="AR8" s="21">
        <v>4.8300000000000001E-3</v>
      </c>
      <c r="AS8" s="9">
        <f>AR8*12.87</f>
        <v>6.2162099999999998E-2</v>
      </c>
      <c r="AU8">
        <v>1</v>
      </c>
      <c r="AV8" s="5">
        <f>C8*1000/29.3</f>
        <v>250.39248387450374</v>
      </c>
      <c r="AW8" s="5">
        <f>I8*1000</f>
        <v>7336.4997775229594</v>
      </c>
      <c r="AX8" s="5">
        <f>P8*1000</f>
        <v>46.651687109996196</v>
      </c>
    </row>
    <row r="9" spans="1:50" x14ac:dyDescent="0.2">
      <c r="A9">
        <v>2</v>
      </c>
      <c r="B9">
        <v>1</v>
      </c>
      <c r="C9">
        <v>6.7068451048727002</v>
      </c>
      <c r="D9">
        <v>0</v>
      </c>
      <c r="E9">
        <v>6.7068451048727002</v>
      </c>
      <c r="F9">
        <v>0</v>
      </c>
      <c r="G9">
        <v>1</v>
      </c>
      <c r="H9">
        <v>0</v>
      </c>
      <c r="I9">
        <v>6.7068451048727002</v>
      </c>
      <c r="J9">
        <v>6.7068451048727002</v>
      </c>
      <c r="K9">
        <v>0</v>
      </c>
      <c r="L9">
        <v>1</v>
      </c>
      <c r="M9">
        <v>6.7068451048727002</v>
      </c>
      <c r="N9">
        <v>0.31993786105076</v>
      </c>
      <c r="O9">
        <v>6.7068451048727002</v>
      </c>
      <c r="P9">
        <v>0.31993786105076</v>
      </c>
      <c r="Q9">
        <v>1</v>
      </c>
      <c r="R9">
        <v>0</v>
      </c>
      <c r="S9">
        <v>7.0267829659234602</v>
      </c>
      <c r="T9">
        <v>6.7068451048727002</v>
      </c>
      <c r="U9">
        <v>0.31993786105076</v>
      </c>
      <c r="V9">
        <v>1</v>
      </c>
      <c r="W9">
        <v>3.49475569200255</v>
      </c>
      <c r="X9">
        <v>0</v>
      </c>
      <c r="Y9">
        <v>3.49475569200255</v>
      </c>
      <c r="Z9">
        <v>0</v>
      </c>
      <c r="AA9">
        <v>1</v>
      </c>
      <c r="AB9">
        <v>0</v>
      </c>
      <c r="AC9">
        <v>3.49475569200255</v>
      </c>
      <c r="AD9">
        <v>3.49475569200255</v>
      </c>
      <c r="AE9">
        <v>0</v>
      </c>
      <c r="AF9">
        <v>1</v>
      </c>
      <c r="AG9">
        <v>3.49475569200255</v>
      </c>
      <c r="AH9">
        <v>0.16671097118106001</v>
      </c>
      <c r="AI9">
        <v>3.49475569200255</v>
      </c>
      <c r="AJ9">
        <v>0.16671097118106001</v>
      </c>
      <c r="AK9">
        <v>1</v>
      </c>
      <c r="AL9">
        <v>0</v>
      </c>
      <c r="AM9">
        <v>3.6614666631836101</v>
      </c>
      <c r="AN9">
        <v>3.49475569200255</v>
      </c>
      <c r="AO9">
        <v>0.16671097118106001</v>
      </c>
      <c r="AR9" s="21">
        <v>2.461E-2</v>
      </c>
      <c r="AS9" s="9">
        <f t="shared" ref="AS9:AS23" si="0">AR9*12.87</f>
        <v>0.31673069999999998</v>
      </c>
      <c r="AU9">
        <v>2</v>
      </c>
      <c r="AV9" s="5">
        <f t="shared" ref="AV9:AV23" si="1">C9*1000/29.3</f>
        <v>228.90256330623549</v>
      </c>
      <c r="AW9" s="5">
        <f t="shared" ref="AW9:AW23" si="2">I9*1000</f>
        <v>6706.8451048727002</v>
      </c>
      <c r="AX9" s="5">
        <f t="shared" ref="AX9:AX23" si="3">P9*1000</f>
        <v>319.93786105075998</v>
      </c>
    </row>
    <row r="10" spans="1:50" x14ac:dyDescent="0.2">
      <c r="A10">
        <v>3</v>
      </c>
      <c r="B10">
        <v>1</v>
      </c>
      <c r="C10">
        <v>5.1990962712190001</v>
      </c>
      <c r="D10">
        <v>0</v>
      </c>
      <c r="E10">
        <v>5.1990962712190001</v>
      </c>
      <c r="F10">
        <v>0</v>
      </c>
      <c r="G10">
        <v>1</v>
      </c>
      <c r="H10">
        <v>0</v>
      </c>
      <c r="I10">
        <v>5.1990962712190001</v>
      </c>
      <c r="J10">
        <v>5.1990962712190001</v>
      </c>
      <c r="K10">
        <v>0</v>
      </c>
      <c r="L10">
        <v>1</v>
      </c>
      <c r="M10">
        <v>5.1990962712190001</v>
      </c>
      <c r="N10">
        <v>0.128057679106544</v>
      </c>
      <c r="O10">
        <v>5.1990962712190001</v>
      </c>
      <c r="P10">
        <v>0.128057679106544</v>
      </c>
      <c r="Q10">
        <v>1</v>
      </c>
      <c r="R10">
        <v>0</v>
      </c>
      <c r="S10">
        <v>5.3271539503255401</v>
      </c>
      <c r="T10">
        <v>5.1990962712190001</v>
      </c>
      <c r="U10">
        <v>0.128057679106544</v>
      </c>
      <c r="V10">
        <v>1</v>
      </c>
      <c r="W10">
        <v>2.7091085306131699</v>
      </c>
      <c r="X10">
        <v>0</v>
      </c>
      <c r="Y10">
        <v>2.7091085306131699</v>
      </c>
      <c r="Z10">
        <v>0</v>
      </c>
      <c r="AA10">
        <v>1</v>
      </c>
      <c r="AB10">
        <v>0</v>
      </c>
      <c r="AC10">
        <v>2.7091085306131699</v>
      </c>
      <c r="AD10">
        <v>2.7091085306131699</v>
      </c>
      <c r="AE10">
        <v>0</v>
      </c>
      <c r="AF10">
        <v>1</v>
      </c>
      <c r="AG10">
        <v>2.7091085306131699</v>
      </c>
      <c r="AH10">
        <v>6.6727395066435602E-2</v>
      </c>
      <c r="AI10">
        <v>2.7091085306131699</v>
      </c>
      <c r="AJ10">
        <v>6.6727395066435602E-2</v>
      </c>
      <c r="AK10">
        <v>1</v>
      </c>
      <c r="AL10">
        <v>0</v>
      </c>
      <c r="AM10">
        <v>2.7758359256796101</v>
      </c>
      <c r="AN10">
        <v>2.7091085306131699</v>
      </c>
      <c r="AO10">
        <v>6.6727395066435602E-2</v>
      </c>
      <c r="AR10" s="21">
        <v>0.10138999999999999</v>
      </c>
      <c r="AS10" s="9">
        <f t="shared" si="0"/>
        <v>1.3048892999999999</v>
      </c>
      <c r="AU10">
        <v>3</v>
      </c>
      <c r="AV10" s="5">
        <f t="shared" si="1"/>
        <v>177.44355874467578</v>
      </c>
      <c r="AW10" s="5">
        <f t="shared" si="2"/>
        <v>5199.0962712190003</v>
      </c>
      <c r="AX10" s="5">
        <f t="shared" si="3"/>
        <v>128.05767910654401</v>
      </c>
    </row>
    <row r="11" spans="1:50" x14ac:dyDescent="0.2">
      <c r="A11">
        <v>4</v>
      </c>
      <c r="B11">
        <v>1</v>
      </c>
      <c r="C11">
        <v>5.1198744955961697</v>
      </c>
      <c r="D11">
        <v>0</v>
      </c>
      <c r="E11">
        <v>5.1198744955961697</v>
      </c>
      <c r="F11">
        <v>0</v>
      </c>
      <c r="G11">
        <v>1</v>
      </c>
      <c r="H11">
        <v>0</v>
      </c>
      <c r="I11">
        <v>5.1198744955961697</v>
      </c>
      <c r="J11">
        <v>5.1198744955961697</v>
      </c>
      <c r="K11">
        <v>0</v>
      </c>
      <c r="L11">
        <v>1</v>
      </c>
      <c r="M11">
        <v>5.1198744955961697</v>
      </c>
      <c r="N11">
        <v>0.49337737422386302</v>
      </c>
      <c r="O11">
        <v>5.1198744955961697</v>
      </c>
      <c r="P11">
        <v>0.49337737422386302</v>
      </c>
      <c r="Q11">
        <v>1</v>
      </c>
      <c r="R11">
        <v>0</v>
      </c>
      <c r="S11">
        <v>5.6132518698200302</v>
      </c>
      <c r="T11">
        <v>5.1198744955961697</v>
      </c>
      <c r="U11">
        <v>0.49337737422386302</v>
      </c>
      <c r="V11">
        <v>1</v>
      </c>
      <c r="W11">
        <v>2.6678282047730399</v>
      </c>
      <c r="X11">
        <v>0</v>
      </c>
      <c r="Y11">
        <v>2.6678282047730399</v>
      </c>
      <c r="Z11">
        <v>0</v>
      </c>
      <c r="AA11">
        <v>1</v>
      </c>
      <c r="AB11">
        <v>0</v>
      </c>
      <c r="AC11">
        <v>2.6678282047730399</v>
      </c>
      <c r="AD11">
        <v>2.6678282047730399</v>
      </c>
      <c r="AE11">
        <v>0</v>
      </c>
      <c r="AF11">
        <v>1</v>
      </c>
      <c r="AG11">
        <v>2.6678282047730399</v>
      </c>
      <c r="AH11">
        <v>0.25708561326717</v>
      </c>
      <c r="AI11">
        <v>2.6678282047730399</v>
      </c>
      <c r="AJ11">
        <v>0.25708561326717</v>
      </c>
      <c r="AK11">
        <v>1</v>
      </c>
      <c r="AL11">
        <v>0</v>
      </c>
      <c r="AM11">
        <v>2.9249138180402099</v>
      </c>
      <c r="AN11">
        <v>2.6678282047730399</v>
      </c>
      <c r="AO11">
        <v>0.25708561326717</v>
      </c>
      <c r="AR11" s="21">
        <v>5.323E-2</v>
      </c>
      <c r="AS11" s="9">
        <f t="shared" si="0"/>
        <v>0.6850700999999999</v>
      </c>
      <c r="AU11">
        <v>4</v>
      </c>
      <c r="AV11" s="5">
        <f t="shared" si="1"/>
        <v>174.73974387700235</v>
      </c>
      <c r="AW11" s="5">
        <f t="shared" si="2"/>
        <v>5119.8744955961693</v>
      </c>
      <c r="AX11" s="5">
        <f t="shared" si="3"/>
        <v>493.377374223863</v>
      </c>
    </row>
    <row r="12" spans="1:50" x14ac:dyDescent="0.2">
      <c r="A12">
        <v>5</v>
      </c>
      <c r="B12">
        <v>1</v>
      </c>
      <c r="C12">
        <v>5.3359914994952504</v>
      </c>
      <c r="D12">
        <v>0</v>
      </c>
      <c r="E12">
        <v>5.3359914994952504</v>
      </c>
      <c r="F12">
        <v>0</v>
      </c>
      <c r="G12">
        <v>1</v>
      </c>
      <c r="H12">
        <v>0</v>
      </c>
      <c r="I12">
        <v>5.3359914994952504</v>
      </c>
      <c r="J12">
        <v>5.3359914994952504</v>
      </c>
      <c r="K12">
        <v>0</v>
      </c>
      <c r="L12">
        <v>1</v>
      </c>
      <c r="M12">
        <v>5.3359914994952504</v>
      </c>
      <c r="N12">
        <v>0.121544784912795</v>
      </c>
      <c r="O12">
        <v>5.3359914994952504</v>
      </c>
      <c r="P12">
        <v>0.121544784912795</v>
      </c>
      <c r="Q12">
        <v>1</v>
      </c>
      <c r="R12">
        <v>0</v>
      </c>
      <c r="S12">
        <v>5.4575362844080404</v>
      </c>
      <c r="T12">
        <v>5.3359914994952504</v>
      </c>
      <c r="U12">
        <v>0.121544784912795</v>
      </c>
      <c r="V12">
        <v>1</v>
      </c>
      <c r="W12">
        <v>2.7804409336649201</v>
      </c>
      <c r="X12">
        <v>0</v>
      </c>
      <c r="Y12">
        <v>2.7804409336649201</v>
      </c>
      <c r="Z12">
        <v>0</v>
      </c>
      <c r="AA12">
        <v>1</v>
      </c>
      <c r="AB12">
        <v>0</v>
      </c>
      <c r="AC12">
        <v>2.7804409336649201</v>
      </c>
      <c r="AD12">
        <v>2.7804409336649201</v>
      </c>
      <c r="AE12">
        <v>0</v>
      </c>
      <c r="AF12">
        <v>1</v>
      </c>
      <c r="AG12">
        <v>2.7804409336649201</v>
      </c>
      <c r="AH12">
        <v>6.3333701951549401E-2</v>
      </c>
      <c r="AI12">
        <v>2.7804409336649201</v>
      </c>
      <c r="AJ12">
        <v>6.3333701951549401E-2</v>
      </c>
      <c r="AK12">
        <v>1</v>
      </c>
      <c r="AL12">
        <v>0</v>
      </c>
      <c r="AM12">
        <v>2.8437746356164699</v>
      </c>
      <c r="AN12">
        <v>2.7804409336649201</v>
      </c>
      <c r="AO12">
        <v>6.3333701951549401E-2</v>
      </c>
      <c r="AR12" s="21">
        <v>1.2449999999999999E-2</v>
      </c>
      <c r="AS12" s="9">
        <f t="shared" si="0"/>
        <v>0.16023149999999997</v>
      </c>
      <c r="AU12">
        <v>5</v>
      </c>
      <c r="AV12" s="5">
        <f t="shared" si="1"/>
        <v>182.11575083601537</v>
      </c>
      <c r="AW12" s="5">
        <f t="shared" si="2"/>
        <v>5335.9914994952505</v>
      </c>
      <c r="AX12" s="5">
        <f t="shared" si="3"/>
        <v>121.544784912795</v>
      </c>
    </row>
    <row r="13" spans="1:50" x14ac:dyDescent="0.2">
      <c r="A13">
        <v>6</v>
      </c>
      <c r="B13">
        <v>1</v>
      </c>
      <c r="C13">
        <v>2.6411835799090499</v>
      </c>
      <c r="D13">
        <v>0</v>
      </c>
      <c r="E13">
        <v>2.6411835799090499</v>
      </c>
      <c r="F13">
        <v>0</v>
      </c>
      <c r="G13">
        <v>1</v>
      </c>
      <c r="H13">
        <v>0</v>
      </c>
      <c r="I13">
        <v>2.6411835799090499</v>
      </c>
      <c r="J13">
        <v>2.6411835799090499</v>
      </c>
      <c r="K13">
        <v>0</v>
      </c>
      <c r="L13">
        <v>1</v>
      </c>
      <c r="M13">
        <v>2.6411835799090499</v>
      </c>
      <c r="N13">
        <v>0.51573952088830699</v>
      </c>
      <c r="O13">
        <v>2.6411835799090499</v>
      </c>
      <c r="P13">
        <v>0.51573952088830699</v>
      </c>
      <c r="Q13">
        <v>1</v>
      </c>
      <c r="R13">
        <v>0</v>
      </c>
      <c r="S13">
        <v>3.1569231007973602</v>
      </c>
      <c r="T13">
        <v>2.6411835799090499</v>
      </c>
      <c r="U13">
        <v>0.51573952088830699</v>
      </c>
      <c r="V13">
        <v>1</v>
      </c>
      <c r="W13">
        <v>1.37624936988701</v>
      </c>
      <c r="X13">
        <v>0</v>
      </c>
      <c r="Y13">
        <v>1.37624936988701</v>
      </c>
      <c r="Z13">
        <v>0</v>
      </c>
      <c r="AA13">
        <v>1</v>
      </c>
      <c r="AB13">
        <v>0</v>
      </c>
      <c r="AC13">
        <v>1.37624936988701</v>
      </c>
      <c r="AD13">
        <v>1.37624936988701</v>
      </c>
      <c r="AE13">
        <v>0</v>
      </c>
      <c r="AF13">
        <v>1</v>
      </c>
      <c r="AG13">
        <v>1.37624936988701</v>
      </c>
      <c r="AH13">
        <v>0.26873792342477099</v>
      </c>
      <c r="AI13">
        <v>1.37624936988701</v>
      </c>
      <c r="AJ13">
        <v>0.26873792342477099</v>
      </c>
      <c r="AK13">
        <v>1</v>
      </c>
      <c r="AL13">
        <v>0</v>
      </c>
      <c r="AM13">
        <v>0.83174902928763805</v>
      </c>
      <c r="AN13">
        <v>0.56301110586286796</v>
      </c>
      <c r="AO13">
        <v>0.26873792342477099</v>
      </c>
      <c r="AR13" s="21">
        <v>7.6859999999999998E-2</v>
      </c>
      <c r="AS13" s="9">
        <f t="shared" si="0"/>
        <v>0.98918819999999996</v>
      </c>
      <c r="AU13">
        <v>6</v>
      </c>
      <c r="AV13" s="5">
        <f t="shared" si="1"/>
        <v>90.142784297237199</v>
      </c>
      <c r="AW13" s="5">
        <f t="shared" si="2"/>
        <v>2641.18357990905</v>
      </c>
      <c r="AX13" s="5">
        <f t="shared" si="3"/>
        <v>515.73952088830697</v>
      </c>
    </row>
    <row r="14" spans="1:50" x14ac:dyDescent="0.2">
      <c r="A14">
        <v>7</v>
      </c>
      <c r="B14">
        <v>1</v>
      </c>
      <c r="C14">
        <v>2.24444092758992</v>
      </c>
      <c r="D14">
        <v>0</v>
      </c>
      <c r="E14">
        <v>2.24444092758992</v>
      </c>
      <c r="F14">
        <v>0</v>
      </c>
      <c r="G14">
        <v>1</v>
      </c>
      <c r="H14">
        <v>0</v>
      </c>
      <c r="I14">
        <v>2.24444092758992</v>
      </c>
      <c r="J14">
        <v>2.24444092758992</v>
      </c>
      <c r="K14">
        <v>0</v>
      </c>
      <c r="L14">
        <v>1</v>
      </c>
      <c r="M14">
        <v>2.24444092758992</v>
      </c>
      <c r="N14">
        <v>0.76334357960766197</v>
      </c>
      <c r="O14">
        <v>2.24444092758992</v>
      </c>
      <c r="P14">
        <v>0.76334357960766197</v>
      </c>
      <c r="Q14">
        <v>1</v>
      </c>
      <c r="R14">
        <v>0</v>
      </c>
      <c r="S14">
        <v>3.0077845071975799</v>
      </c>
      <c r="T14">
        <v>2.24444092758992</v>
      </c>
      <c r="U14">
        <v>0.76334357960766197</v>
      </c>
      <c r="V14">
        <v>1</v>
      </c>
      <c r="W14">
        <v>1.1695174980796299</v>
      </c>
      <c r="X14">
        <v>0</v>
      </c>
      <c r="Y14">
        <v>1.1695174980796299</v>
      </c>
      <c r="Z14">
        <v>0</v>
      </c>
      <c r="AA14">
        <v>1</v>
      </c>
      <c r="AB14">
        <v>0</v>
      </c>
      <c r="AC14">
        <v>1.1695174980796299</v>
      </c>
      <c r="AD14">
        <v>1.1695174980796299</v>
      </c>
      <c r="AE14">
        <v>0</v>
      </c>
      <c r="AF14">
        <v>1</v>
      </c>
      <c r="AG14">
        <v>1.1695174980796299</v>
      </c>
      <c r="AH14">
        <v>0.397757705459654</v>
      </c>
      <c r="AI14">
        <v>1.1695174980796299</v>
      </c>
      <c r="AJ14">
        <v>0.397757705459654</v>
      </c>
      <c r="AK14">
        <v>1</v>
      </c>
      <c r="AL14">
        <v>0</v>
      </c>
      <c r="AM14">
        <v>1.5672752035392901</v>
      </c>
      <c r="AN14">
        <v>1.1695174980796299</v>
      </c>
      <c r="AO14">
        <v>0.397757705459654</v>
      </c>
      <c r="AR14" s="21">
        <v>6.0170000000000001E-2</v>
      </c>
      <c r="AS14" s="9">
        <f t="shared" si="0"/>
        <v>0.77438790000000002</v>
      </c>
      <c r="AU14">
        <v>7</v>
      </c>
      <c r="AV14" s="5">
        <f t="shared" si="1"/>
        <v>76.602079439929014</v>
      </c>
      <c r="AW14" s="5">
        <f t="shared" si="2"/>
        <v>2244.4409275899202</v>
      </c>
      <c r="AX14" s="5">
        <f t="shared" si="3"/>
        <v>763.34357960766192</v>
      </c>
    </row>
    <row r="15" spans="1:50" x14ac:dyDescent="0.2">
      <c r="A15">
        <v>8</v>
      </c>
      <c r="B15">
        <v>1</v>
      </c>
      <c r="C15">
        <v>2.2786647346589799</v>
      </c>
      <c r="D15">
        <v>0</v>
      </c>
      <c r="E15">
        <v>2.2786647346589799</v>
      </c>
      <c r="F15">
        <v>0</v>
      </c>
      <c r="G15">
        <v>1</v>
      </c>
      <c r="H15">
        <v>0</v>
      </c>
      <c r="I15">
        <v>0.93218102781503798</v>
      </c>
      <c r="J15">
        <v>0.93218102781503798</v>
      </c>
      <c r="K15">
        <v>0</v>
      </c>
      <c r="L15">
        <v>1</v>
      </c>
      <c r="M15">
        <v>2.2786647346589799</v>
      </c>
      <c r="N15">
        <v>0.86198333263360805</v>
      </c>
      <c r="O15">
        <v>2.2786647346589799</v>
      </c>
      <c r="P15">
        <v>0.86198333263360805</v>
      </c>
      <c r="Q15">
        <v>1</v>
      </c>
      <c r="R15">
        <v>0</v>
      </c>
      <c r="S15">
        <v>3.1406480672925898</v>
      </c>
      <c r="T15">
        <v>2.2786647346589799</v>
      </c>
      <c r="U15">
        <v>0.86198333263360805</v>
      </c>
      <c r="V15">
        <v>1</v>
      </c>
      <c r="W15">
        <v>1.1873505988425701</v>
      </c>
      <c r="X15">
        <v>0</v>
      </c>
      <c r="Y15">
        <v>1.1873505988425701</v>
      </c>
      <c r="Z15">
        <v>0</v>
      </c>
      <c r="AA15">
        <v>1</v>
      </c>
      <c r="AB15">
        <v>0</v>
      </c>
      <c r="AC15">
        <v>1.1873505988425701</v>
      </c>
      <c r="AD15">
        <v>1.1873505988425701</v>
      </c>
      <c r="AE15">
        <v>0</v>
      </c>
      <c r="AF15">
        <v>1</v>
      </c>
      <c r="AG15">
        <v>1.1873505988425701</v>
      </c>
      <c r="AH15">
        <v>0.44915621443889098</v>
      </c>
      <c r="AI15">
        <v>1.1873505988425701</v>
      </c>
      <c r="AJ15">
        <v>0.44915621443889098</v>
      </c>
      <c r="AK15">
        <v>1</v>
      </c>
      <c r="AL15">
        <v>0</v>
      </c>
      <c r="AM15">
        <v>1.63650681328146</v>
      </c>
      <c r="AN15">
        <v>1.1873505988425701</v>
      </c>
      <c r="AO15">
        <v>0.44915621443889098</v>
      </c>
      <c r="AR15" s="21">
        <v>0.12376</v>
      </c>
      <c r="AS15" s="9">
        <f t="shared" si="0"/>
        <v>1.5927911999999997</v>
      </c>
      <c r="AU15">
        <v>8</v>
      </c>
      <c r="AV15" s="5">
        <f t="shared" si="1"/>
        <v>77.77012746276381</v>
      </c>
      <c r="AW15" s="5">
        <f t="shared" si="2"/>
        <v>932.18102781503796</v>
      </c>
      <c r="AX15" s="5">
        <f t="shared" si="3"/>
        <v>861.98333263360803</v>
      </c>
    </row>
    <row r="16" spans="1:50" x14ac:dyDescent="0.2">
      <c r="A16">
        <v>9</v>
      </c>
      <c r="B16">
        <v>1</v>
      </c>
      <c r="C16">
        <v>2.48083870604844</v>
      </c>
      <c r="D16">
        <v>0</v>
      </c>
      <c r="E16">
        <v>2.48083870604844</v>
      </c>
      <c r="F16">
        <v>0</v>
      </c>
      <c r="G16">
        <v>1</v>
      </c>
      <c r="H16">
        <v>0</v>
      </c>
      <c r="I16">
        <v>2.48083870604844</v>
      </c>
      <c r="J16">
        <v>2.48083870604844</v>
      </c>
      <c r="K16">
        <v>0</v>
      </c>
      <c r="L16">
        <v>1</v>
      </c>
      <c r="M16">
        <v>2.48083870604844</v>
      </c>
      <c r="N16">
        <v>1.0409323602023</v>
      </c>
      <c r="O16">
        <v>2.48083870604844</v>
      </c>
      <c r="P16">
        <v>1.0409323602023</v>
      </c>
      <c r="Q16">
        <v>1</v>
      </c>
      <c r="R16">
        <v>0</v>
      </c>
      <c r="S16">
        <v>3.5217710662507402</v>
      </c>
      <c r="T16">
        <v>2.48083870604844</v>
      </c>
      <c r="U16">
        <v>1.0409323602023</v>
      </c>
      <c r="V16">
        <v>1</v>
      </c>
      <c r="W16">
        <v>1.2926979903865801</v>
      </c>
      <c r="X16">
        <v>0</v>
      </c>
      <c r="Y16">
        <v>1.2926979903865801</v>
      </c>
      <c r="Z16">
        <v>0</v>
      </c>
      <c r="AA16">
        <v>1</v>
      </c>
      <c r="AB16">
        <v>0</v>
      </c>
      <c r="AC16">
        <v>1.2926979903865801</v>
      </c>
      <c r="AD16">
        <v>1.2926979903865801</v>
      </c>
      <c r="AE16">
        <v>0</v>
      </c>
      <c r="AF16">
        <v>1</v>
      </c>
      <c r="AG16">
        <v>1.2926979903865801</v>
      </c>
      <c r="AH16">
        <v>0.54240171554933703</v>
      </c>
      <c r="AI16">
        <v>1.2926979903865801</v>
      </c>
      <c r="AJ16">
        <v>0.54240171554933703</v>
      </c>
      <c r="AK16">
        <v>1</v>
      </c>
      <c r="AL16">
        <v>0</v>
      </c>
      <c r="AM16">
        <v>1.83509970593592</v>
      </c>
      <c r="AN16">
        <v>1.2926979903865801</v>
      </c>
      <c r="AO16">
        <v>0.54240171554933703</v>
      </c>
      <c r="AR16" s="21">
        <v>0.15989999999999999</v>
      </c>
      <c r="AS16" s="9">
        <f t="shared" si="0"/>
        <v>2.0579129999999997</v>
      </c>
      <c r="AU16">
        <v>9</v>
      </c>
      <c r="AV16" s="5">
        <f t="shared" si="1"/>
        <v>84.670263005066218</v>
      </c>
      <c r="AW16" s="5">
        <f t="shared" si="2"/>
        <v>2480.8387060484401</v>
      </c>
      <c r="AX16" s="5">
        <f t="shared" si="3"/>
        <v>1040.9323602023001</v>
      </c>
    </row>
    <row r="17" spans="1:51" x14ac:dyDescent="0.2">
      <c r="A17">
        <v>10</v>
      </c>
      <c r="B17">
        <v>1</v>
      </c>
      <c r="C17">
        <v>2.843927948083</v>
      </c>
      <c r="D17">
        <v>0</v>
      </c>
      <c r="E17">
        <v>2.843927948083</v>
      </c>
      <c r="F17">
        <v>0</v>
      </c>
      <c r="G17">
        <v>1</v>
      </c>
      <c r="H17">
        <v>0</v>
      </c>
      <c r="I17">
        <v>2.843927948083</v>
      </c>
      <c r="J17">
        <v>2.843927948083</v>
      </c>
      <c r="K17">
        <v>0</v>
      </c>
      <c r="L17">
        <v>1</v>
      </c>
      <c r="M17">
        <v>2.843927948083</v>
      </c>
      <c r="N17">
        <v>1.24558813376264</v>
      </c>
      <c r="O17">
        <v>2.843927948083</v>
      </c>
      <c r="P17">
        <v>1.24558813376264</v>
      </c>
      <c r="Q17">
        <v>1</v>
      </c>
      <c r="R17">
        <v>0</v>
      </c>
      <c r="S17">
        <v>4.0895160818456402</v>
      </c>
      <c r="T17">
        <v>2.843927948083</v>
      </c>
      <c r="U17">
        <v>1.24558813376264</v>
      </c>
      <c r="V17">
        <v>1</v>
      </c>
      <c r="W17">
        <v>1.48189397977707</v>
      </c>
      <c r="X17">
        <v>0</v>
      </c>
      <c r="Y17">
        <v>1.48189397977707</v>
      </c>
      <c r="Z17">
        <v>0</v>
      </c>
      <c r="AA17">
        <v>1</v>
      </c>
      <c r="AB17">
        <v>0</v>
      </c>
      <c r="AC17">
        <v>1.48189397977707</v>
      </c>
      <c r="AD17">
        <v>1.48189397977707</v>
      </c>
      <c r="AE17">
        <v>0</v>
      </c>
      <c r="AF17">
        <v>1</v>
      </c>
      <c r="AG17">
        <v>1.48189397977707</v>
      </c>
      <c r="AH17">
        <v>0.64904230711921695</v>
      </c>
      <c r="AI17">
        <v>1.48189397977707</v>
      </c>
      <c r="AJ17">
        <v>0.64904230711921695</v>
      </c>
      <c r="AK17">
        <v>1</v>
      </c>
      <c r="AL17">
        <v>0</v>
      </c>
      <c r="AM17">
        <v>2.13093628689629</v>
      </c>
      <c r="AN17">
        <v>1.48189397977707</v>
      </c>
      <c r="AO17">
        <v>0.64904230711921695</v>
      </c>
      <c r="AR17" s="21">
        <v>0.1075</v>
      </c>
      <c r="AS17" s="9">
        <f t="shared" si="0"/>
        <v>1.3835249999999999</v>
      </c>
      <c r="AU17">
        <v>10</v>
      </c>
      <c r="AV17" s="5">
        <f t="shared" si="1"/>
        <v>97.062387306587027</v>
      </c>
      <c r="AW17" s="5">
        <f t="shared" si="2"/>
        <v>2843.927948083</v>
      </c>
      <c r="AX17" s="5">
        <f t="shared" si="3"/>
        <v>1245.5881337626399</v>
      </c>
    </row>
    <row r="18" spans="1:51" x14ac:dyDescent="0.2">
      <c r="A18">
        <v>11</v>
      </c>
      <c r="B18">
        <v>1</v>
      </c>
      <c r="C18">
        <v>4.5779975503360104</v>
      </c>
      <c r="D18">
        <v>0</v>
      </c>
      <c r="E18">
        <v>4.5779975503360104</v>
      </c>
      <c r="F18">
        <v>0</v>
      </c>
      <c r="G18">
        <v>1</v>
      </c>
      <c r="H18">
        <v>0</v>
      </c>
      <c r="I18">
        <v>4.5779975503360104</v>
      </c>
      <c r="J18">
        <v>4.5779975503360104</v>
      </c>
      <c r="K18">
        <v>0</v>
      </c>
      <c r="L18">
        <v>1</v>
      </c>
      <c r="M18">
        <v>4.5779975503360104</v>
      </c>
      <c r="N18">
        <v>1.2895086861679299</v>
      </c>
      <c r="O18">
        <v>4.5779975503360104</v>
      </c>
      <c r="P18">
        <v>1.2895086861679299</v>
      </c>
      <c r="Q18">
        <v>1</v>
      </c>
      <c r="R18">
        <v>0</v>
      </c>
      <c r="S18">
        <v>5.8675062365039397</v>
      </c>
      <c r="T18">
        <v>4.5779975503360104</v>
      </c>
      <c r="U18">
        <v>1.2895086861679299</v>
      </c>
      <c r="V18">
        <v>1</v>
      </c>
      <c r="W18">
        <v>2.3854707760265401</v>
      </c>
      <c r="X18">
        <v>0</v>
      </c>
      <c r="Y18">
        <v>2.3854707760265401</v>
      </c>
      <c r="Z18">
        <v>0</v>
      </c>
      <c r="AA18">
        <v>1</v>
      </c>
      <c r="AB18">
        <v>0</v>
      </c>
      <c r="AC18">
        <v>2.3854707760265401</v>
      </c>
      <c r="AD18">
        <v>2.3854707760265401</v>
      </c>
      <c r="AE18">
        <v>0</v>
      </c>
      <c r="AF18">
        <v>1</v>
      </c>
      <c r="AG18">
        <v>2.3854707760265401</v>
      </c>
      <c r="AH18">
        <v>0.67192811976498601</v>
      </c>
      <c r="AI18">
        <v>2.3854707760265401</v>
      </c>
      <c r="AJ18">
        <v>0.67192811976498601</v>
      </c>
      <c r="AK18">
        <v>1</v>
      </c>
      <c r="AL18">
        <v>0</v>
      </c>
      <c r="AM18">
        <v>3.0573988957915299</v>
      </c>
      <c r="AN18">
        <v>2.3854707760265401</v>
      </c>
      <c r="AO18">
        <v>0.67192811976498601</v>
      </c>
      <c r="AR18" s="21">
        <v>2.8479999999999998E-2</v>
      </c>
      <c r="AS18" s="9">
        <f t="shared" si="0"/>
        <v>0.36653759999999996</v>
      </c>
      <c r="AU18">
        <v>11</v>
      </c>
      <c r="AV18" s="5">
        <f t="shared" si="1"/>
        <v>156.24565018211638</v>
      </c>
      <c r="AW18" s="5">
        <f t="shared" si="2"/>
        <v>4577.9975503360101</v>
      </c>
      <c r="AX18" s="5">
        <f t="shared" si="3"/>
        <v>1289.5086861679299</v>
      </c>
    </row>
    <row r="19" spans="1:51" x14ac:dyDescent="0.2">
      <c r="A19">
        <v>12</v>
      </c>
      <c r="B19">
        <v>1</v>
      </c>
      <c r="C19">
        <v>4.1983668015514102</v>
      </c>
      <c r="D19">
        <v>0</v>
      </c>
      <c r="E19">
        <v>4.1983668015514102</v>
      </c>
      <c r="F19">
        <v>0</v>
      </c>
      <c r="G19">
        <v>1</v>
      </c>
      <c r="H19">
        <v>0</v>
      </c>
      <c r="I19">
        <v>4.1983668015514102</v>
      </c>
      <c r="J19">
        <v>4.1983668015514102</v>
      </c>
      <c r="K19">
        <v>0</v>
      </c>
      <c r="L19">
        <v>1</v>
      </c>
      <c r="M19">
        <v>4.1983668015514102</v>
      </c>
      <c r="N19">
        <v>1.16525293209333</v>
      </c>
      <c r="O19">
        <v>4.1983668015514102</v>
      </c>
      <c r="P19">
        <v>1.16525293209333</v>
      </c>
      <c r="Q19">
        <v>1</v>
      </c>
      <c r="R19">
        <v>0</v>
      </c>
      <c r="S19">
        <v>5.3636197336447298</v>
      </c>
      <c r="T19">
        <v>4.1983668015514102</v>
      </c>
      <c r="U19">
        <v>1.16525293209333</v>
      </c>
      <c r="V19">
        <v>1</v>
      </c>
      <c r="W19">
        <v>2.1876554546006299</v>
      </c>
      <c r="X19">
        <v>0</v>
      </c>
      <c r="Y19">
        <v>2.1876554546006299</v>
      </c>
      <c r="Z19">
        <v>0</v>
      </c>
      <c r="AA19">
        <v>1</v>
      </c>
      <c r="AB19">
        <v>0</v>
      </c>
      <c r="AC19">
        <v>2.1876554546006299</v>
      </c>
      <c r="AD19">
        <v>2.1876554546006299</v>
      </c>
      <c r="AE19">
        <v>0</v>
      </c>
      <c r="AF19">
        <v>1</v>
      </c>
      <c r="AG19">
        <v>2.1876554546006299</v>
      </c>
      <c r="AH19">
        <v>0.60718180506318697</v>
      </c>
      <c r="AI19">
        <v>2.1876554546006299</v>
      </c>
      <c r="AJ19">
        <v>0.60718180506318697</v>
      </c>
      <c r="AK19">
        <v>1</v>
      </c>
      <c r="AL19">
        <v>0</v>
      </c>
      <c r="AM19">
        <v>1.5021317637634499</v>
      </c>
      <c r="AN19">
        <v>0.89494995870025795</v>
      </c>
      <c r="AO19">
        <v>0.60718180506318697</v>
      </c>
      <c r="AR19" s="21">
        <v>0.12501999999999999</v>
      </c>
      <c r="AS19" s="9">
        <f t="shared" si="0"/>
        <v>1.6090073999999999</v>
      </c>
      <c r="AU19">
        <v>12</v>
      </c>
      <c r="AV19" s="5">
        <f t="shared" si="1"/>
        <v>143.28896933622562</v>
      </c>
      <c r="AW19" s="5">
        <f t="shared" si="2"/>
        <v>4198.3668015514104</v>
      </c>
      <c r="AX19" s="5">
        <f t="shared" si="3"/>
        <v>1165.2529320933299</v>
      </c>
    </row>
    <row r="20" spans="1:51" x14ac:dyDescent="0.2">
      <c r="A20">
        <v>13</v>
      </c>
      <c r="B20">
        <v>1</v>
      </c>
      <c r="C20">
        <v>3.90429557043946</v>
      </c>
      <c r="D20">
        <v>0</v>
      </c>
      <c r="E20">
        <v>3.90429557043946</v>
      </c>
      <c r="F20">
        <v>0</v>
      </c>
      <c r="G20">
        <v>1</v>
      </c>
      <c r="H20">
        <v>0</v>
      </c>
      <c r="I20">
        <v>3.90429557043946</v>
      </c>
      <c r="J20">
        <v>3.90429557043946</v>
      </c>
      <c r="K20">
        <v>0</v>
      </c>
      <c r="L20">
        <v>1</v>
      </c>
      <c r="M20">
        <v>3.90429557043946</v>
      </c>
      <c r="N20">
        <v>1.56428437353</v>
      </c>
      <c r="O20">
        <v>3.90429557043946</v>
      </c>
      <c r="P20">
        <v>1.56428437353</v>
      </c>
      <c r="Q20">
        <v>1</v>
      </c>
      <c r="R20">
        <v>0</v>
      </c>
      <c r="S20">
        <v>5.46857994396946</v>
      </c>
      <c r="T20">
        <v>3.90429557043946</v>
      </c>
      <c r="U20">
        <v>1.56428437353</v>
      </c>
      <c r="V20">
        <v>1</v>
      </c>
      <c r="W20">
        <v>2.0344228850820598</v>
      </c>
      <c r="X20">
        <v>0</v>
      </c>
      <c r="Y20">
        <v>2.0344228850820598</v>
      </c>
      <c r="Z20">
        <v>0</v>
      </c>
      <c r="AA20">
        <v>1</v>
      </c>
      <c r="AB20">
        <v>0</v>
      </c>
      <c r="AC20">
        <v>2.0344228850820598</v>
      </c>
      <c r="AD20">
        <v>2.0344228850820598</v>
      </c>
      <c r="AE20">
        <v>0</v>
      </c>
      <c r="AF20">
        <v>1</v>
      </c>
      <c r="AG20">
        <v>2.0344228850820598</v>
      </c>
      <c r="AH20">
        <v>0.81510630301165499</v>
      </c>
      <c r="AI20">
        <v>2.0344228850820598</v>
      </c>
      <c r="AJ20">
        <v>0.81510630301165499</v>
      </c>
      <c r="AK20">
        <v>1</v>
      </c>
      <c r="AL20">
        <v>0</v>
      </c>
      <c r="AM20">
        <v>2.8495291880937201</v>
      </c>
      <c r="AN20">
        <v>2.0344228850820598</v>
      </c>
      <c r="AO20">
        <v>0.81510630301165499</v>
      </c>
      <c r="AR20" s="21">
        <v>6.2909999999999994E-2</v>
      </c>
      <c r="AS20" s="9">
        <f t="shared" si="0"/>
        <v>0.80965169999999986</v>
      </c>
      <c r="AU20">
        <v>13</v>
      </c>
      <c r="AV20" s="5">
        <f t="shared" si="1"/>
        <v>133.25240854742182</v>
      </c>
      <c r="AW20" s="5">
        <f t="shared" si="2"/>
        <v>3904.2955704394599</v>
      </c>
      <c r="AX20" s="5">
        <f t="shared" si="3"/>
        <v>1564.28437353</v>
      </c>
    </row>
    <row r="21" spans="1:51" x14ac:dyDescent="0.2">
      <c r="A21">
        <v>14</v>
      </c>
      <c r="B21">
        <v>1</v>
      </c>
      <c r="C21">
        <v>3.7762731810329702</v>
      </c>
      <c r="D21">
        <v>0</v>
      </c>
      <c r="E21">
        <v>3.7762731810329702</v>
      </c>
      <c r="F21">
        <v>0</v>
      </c>
      <c r="G21">
        <v>1</v>
      </c>
      <c r="H21">
        <v>0</v>
      </c>
      <c r="I21">
        <v>3.7762731810329702</v>
      </c>
      <c r="J21">
        <v>3.7762731810329702</v>
      </c>
      <c r="K21">
        <v>0</v>
      </c>
      <c r="L21">
        <v>1</v>
      </c>
      <c r="M21">
        <v>3.7762731810329702</v>
      </c>
      <c r="N21">
        <v>2.0594924909687098</v>
      </c>
      <c r="O21">
        <v>3.7762731810329702</v>
      </c>
      <c r="P21">
        <v>2.0594924909687098</v>
      </c>
      <c r="Q21">
        <v>1</v>
      </c>
      <c r="R21">
        <v>0</v>
      </c>
      <c r="S21">
        <v>5.8357656720016804</v>
      </c>
      <c r="T21">
        <v>3.7762731810329702</v>
      </c>
      <c r="U21">
        <v>2.0594924909687098</v>
      </c>
      <c r="V21">
        <v>1</v>
      </c>
      <c r="W21">
        <v>1.9677138785244099</v>
      </c>
      <c r="X21">
        <v>0</v>
      </c>
      <c r="Y21">
        <v>1.9677138785244099</v>
      </c>
      <c r="Z21">
        <v>0</v>
      </c>
      <c r="AA21">
        <v>1</v>
      </c>
      <c r="AB21">
        <v>0</v>
      </c>
      <c r="AC21">
        <v>1.9677138785244099</v>
      </c>
      <c r="AD21">
        <v>1.9677138785244099</v>
      </c>
      <c r="AE21">
        <v>0</v>
      </c>
      <c r="AF21">
        <v>1</v>
      </c>
      <c r="AG21">
        <v>1.9677138785244099</v>
      </c>
      <c r="AH21">
        <v>1.07314586708142</v>
      </c>
      <c r="AI21">
        <v>1.9677138785244099</v>
      </c>
      <c r="AJ21">
        <v>1.07314586708142</v>
      </c>
      <c r="AK21">
        <v>1</v>
      </c>
      <c r="AL21">
        <v>0</v>
      </c>
      <c r="AM21">
        <v>3.0408597456058302</v>
      </c>
      <c r="AN21">
        <v>1.9677138785244099</v>
      </c>
      <c r="AO21">
        <v>1.07314586708142</v>
      </c>
      <c r="AR21" s="21">
        <v>2.367E-2</v>
      </c>
      <c r="AS21" s="9">
        <f t="shared" si="0"/>
        <v>0.30463289999999998</v>
      </c>
      <c r="AU21">
        <v>14</v>
      </c>
      <c r="AV21" s="5">
        <f t="shared" si="1"/>
        <v>128.88304372126177</v>
      </c>
      <c r="AW21" s="5">
        <f t="shared" si="2"/>
        <v>3776.2731810329701</v>
      </c>
      <c r="AX21" s="5">
        <f t="shared" si="3"/>
        <v>2059.4924909687097</v>
      </c>
    </row>
    <row r="22" spans="1:51" x14ac:dyDescent="0.2">
      <c r="A22">
        <v>15</v>
      </c>
      <c r="B22">
        <v>1</v>
      </c>
      <c r="C22">
        <v>1.7831166837830501</v>
      </c>
      <c r="D22">
        <v>0</v>
      </c>
      <c r="E22">
        <v>1.7831166837830501</v>
      </c>
      <c r="F22">
        <v>0</v>
      </c>
      <c r="G22">
        <v>1</v>
      </c>
      <c r="H22">
        <v>0</v>
      </c>
      <c r="I22">
        <v>1.7831166837830501</v>
      </c>
      <c r="J22">
        <v>1.7831166837830501</v>
      </c>
      <c r="K22">
        <v>0</v>
      </c>
      <c r="L22">
        <v>1</v>
      </c>
      <c r="M22">
        <v>1.7831166837830501</v>
      </c>
      <c r="N22">
        <v>3.0412231384460302</v>
      </c>
      <c r="O22">
        <v>1.7831166837830501</v>
      </c>
      <c r="P22">
        <v>3.0412231384460302</v>
      </c>
      <c r="Q22">
        <v>1</v>
      </c>
      <c r="R22">
        <v>0</v>
      </c>
      <c r="S22">
        <v>4.8243398222290796</v>
      </c>
      <c r="T22">
        <v>1.7831166837830501</v>
      </c>
      <c r="U22">
        <v>3.0412231384460302</v>
      </c>
      <c r="V22">
        <v>1</v>
      </c>
      <c r="W22">
        <v>0.92913390464737899</v>
      </c>
      <c r="X22">
        <v>0</v>
      </c>
      <c r="Y22">
        <v>0.92913390464737899</v>
      </c>
      <c r="Z22">
        <v>0</v>
      </c>
      <c r="AA22">
        <v>1</v>
      </c>
      <c r="AB22">
        <v>0</v>
      </c>
      <c r="AC22">
        <v>0.92913390464737899</v>
      </c>
      <c r="AD22">
        <v>0.92913390464737899</v>
      </c>
      <c r="AE22">
        <v>0</v>
      </c>
      <c r="AF22">
        <v>1</v>
      </c>
      <c r="AG22">
        <v>0.92913390464737899</v>
      </c>
      <c r="AH22">
        <v>1.58469917040612</v>
      </c>
      <c r="AI22">
        <v>0.92913390464737899</v>
      </c>
      <c r="AJ22">
        <v>1.58469917040612</v>
      </c>
      <c r="AK22">
        <v>1</v>
      </c>
      <c r="AL22">
        <v>0</v>
      </c>
      <c r="AM22">
        <v>2.5138330750534998</v>
      </c>
      <c r="AN22">
        <v>0.92913390464737899</v>
      </c>
      <c r="AO22">
        <v>1.58469917040612</v>
      </c>
      <c r="AR22" s="21">
        <v>1.7600000000000001E-2</v>
      </c>
      <c r="AS22" s="9">
        <f t="shared" si="0"/>
        <v>0.22651199999999999</v>
      </c>
      <c r="AU22">
        <v>15</v>
      </c>
      <c r="AV22" s="5">
        <f t="shared" si="1"/>
        <v>60.857224702493177</v>
      </c>
      <c r="AW22" s="5">
        <f t="shared" si="2"/>
        <v>1783.1166837830501</v>
      </c>
      <c r="AX22" s="5">
        <f t="shared" si="3"/>
        <v>3041.2231384460301</v>
      </c>
    </row>
    <row r="23" spans="1:51" x14ac:dyDescent="0.2">
      <c r="A23">
        <v>16</v>
      </c>
      <c r="B23">
        <v>1</v>
      </c>
      <c r="C23">
        <v>10.3421739446531</v>
      </c>
      <c r="D23">
        <v>0</v>
      </c>
      <c r="E23">
        <v>10.3421739446531</v>
      </c>
      <c r="F23">
        <v>0</v>
      </c>
      <c r="G23">
        <v>1</v>
      </c>
      <c r="H23">
        <v>0</v>
      </c>
      <c r="I23">
        <v>10.3421739446531</v>
      </c>
      <c r="J23">
        <v>10.3421739446531</v>
      </c>
      <c r="K23">
        <v>0</v>
      </c>
      <c r="L23">
        <v>1</v>
      </c>
      <c r="M23">
        <v>10.3421739446531</v>
      </c>
      <c r="N23">
        <v>0.23153932301896599</v>
      </c>
      <c r="O23">
        <v>10.3421739446531</v>
      </c>
      <c r="P23">
        <v>0.23153932301896599</v>
      </c>
      <c r="Q23">
        <v>1</v>
      </c>
      <c r="R23">
        <v>0</v>
      </c>
      <c r="S23">
        <v>10.573713267672099</v>
      </c>
      <c r="T23">
        <v>10.3421739446531</v>
      </c>
      <c r="U23">
        <v>0.23153932301896599</v>
      </c>
      <c r="V23">
        <v>1</v>
      </c>
      <c r="W23">
        <v>5.3890272841545004</v>
      </c>
      <c r="X23">
        <v>0</v>
      </c>
      <c r="Y23">
        <v>5.3890272841545004</v>
      </c>
      <c r="Z23">
        <v>0</v>
      </c>
      <c r="AA23">
        <v>1</v>
      </c>
      <c r="AB23">
        <v>0</v>
      </c>
      <c r="AC23">
        <v>5.3890272841545004</v>
      </c>
      <c r="AD23">
        <v>5.3890272841545004</v>
      </c>
      <c r="AE23">
        <v>0</v>
      </c>
      <c r="AF23">
        <v>1</v>
      </c>
      <c r="AG23">
        <v>5.3890272841545004</v>
      </c>
      <c r="AH23">
        <v>0.120648882505884</v>
      </c>
      <c r="AI23">
        <v>5.3890272841545004</v>
      </c>
      <c r="AJ23">
        <v>0.120648882505884</v>
      </c>
      <c r="AK23">
        <v>1</v>
      </c>
      <c r="AL23">
        <v>0</v>
      </c>
      <c r="AM23">
        <v>5.5096761666603804</v>
      </c>
      <c r="AN23">
        <v>5.3890272841545004</v>
      </c>
      <c r="AO23">
        <v>0.120648882505884</v>
      </c>
      <c r="AR23" s="21">
        <v>1.763E-2</v>
      </c>
      <c r="AS23" s="9">
        <f t="shared" si="0"/>
        <v>0.22689809999999999</v>
      </c>
      <c r="AU23">
        <v>16</v>
      </c>
      <c r="AV23" s="5">
        <f t="shared" si="1"/>
        <v>352.97521995403071</v>
      </c>
      <c r="AW23" s="5">
        <f t="shared" si="2"/>
        <v>10342.173944653099</v>
      </c>
      <c r="AX23" s="5">
        <f t="shared" si="3"/>
        <v>231.53932301896597</v>
      </c>
    </row>
    <row r="25" spans="1:51" x14ac:dyDescent="0.2">
      <c r="AV25" s="128">
        <f>SUMPRODUCT(AV8:AV23,$AR$8:$AR$23)</f>
        <v>122.62923606418585</v>
      </c>
      <c r="AW25" s="128">
        <f>SUMPRODUCT(AW8:AW23,$AR$8:$AR$23)</f>
        <v>3426.3957931216396</v>
      </c>
      <c r="AX25" s="128">
        <f>SUMPRODUCT(AX8:AX23,$AR$8:$AR$23)</f>
        <v>928.62347713279564</v>
      </c>
    </row>
    <row r="26" spans="1:51" x14ac:dyDescent="0.2">
      <c r="B26">
        <v>2029</v>
      </c>
      <c r="C26" t="s">
        <v>15</v>
      </c>
      <c r="H26" t="s">
        <v>16</v>
      </c>
      <c r="M26" t="s">
        <v>17</v>
      </c>
      <c r="R26" t="s">
        <v>18</v>
      </c>
      <c r="W26" t="s">
        <v>63</v>
      </c>
      <c r="AB26" t="s">
        <v>64</v>
      </c>
      <c r="AG26" t="s">
        <v>65</v>
      </c>
      <c r="AL26" t="s">
        <v>66</v>
      </c>
    </row>
    <row r="27" spans="1:51" x14ac:dyDescent="0.2">
      <c r="B27" t="s">
        <v>181</v>
      </c>
      <c r="C27" t="s">
        <v>67</v>
      </c>
      <c r="D27" t="s">
        <v>68</v>
      </c>
      <c r="E27" t="s">
        <v>69</v>
      </c>
      <c r="F27" t="s">
        <v>70</v>
      </c>
      <c r="G27" t="s">
        <v>181</v>
      </c>
      <c r="H27" t="s">
        <v>67</v>
      </c>
      <c r="I27" t="s">
        <v>68</v>
      </c>
      <c r="J27" t="s">
        <v>69</v>
      </c>
      <c r="K27" t="s">
        <v>70</v>
      </c>
      <c r="L27" t="s">
        <v>181</v>
      </c>
      <c r="M27" t="s">
        <v>67</v>
      </c>
      <c r="N27" t="s">
        <v>68</v>
      </c>
      <c r="O27" t="s">
        <v>69</v>
      </c>
      <c r="P27" t="s">
        <v>70</v>
      </c>
      <c r="Q27" t="s">
        <v>181</v>
      </c>
      <c r="R27" t="s">
        <v>67</v>
      </c>
      <c r="S27" t="s">
        <v>68</v>
      </c>
      <c r="T27" t="s">
        <v>69</v>
      </c>
      <c r="U27" t="s">
        <v>70</v>
      </c>
      <c r="V27" t="s">
        <v>181</v>
      </c>
      <c r="W27" t="s">
        <v>67</v>
      </c>
      <c r="X27" t="s">
        <v>68</v>
      </c>
      <c r="Y27" t="s">
        <v>69</v>
      </c>
      <c r="Z27" t="s">
        <v>70</v>
      </c>
      <c r="AA27" t="s">
        <v>181</v>
      </c>
      <c r="AB27" t="s">
        <v>67</v>
      </c>
      <c r="AC27" t="s">
        <v>68</v>
      </c>
      <c r="AD27" t="s">
        <v>69</v>
      </c>
      <c r="AE27" t="s">
        <v>70</v>
      </c>
      <c r="AF27" t="s">
        <v>181</v>
      </c>
      <c r="AG27" t="s">
        <v>67</v>
      </c>
      <c r="AH27" t="s">
        <v>68</v>
      </c>
      <c r="AI27" t="s">
        <v>69</v>
      </c>
      <c r="AJ27" t="s">
        <v>70</v>
      </c>
      <c r="AK27" t="s">
        <v>181</v>
      </c>
      <c r="AL27" t="s">
        <v>67</v>
      </c>
      <c r="AM27" t="s">
        <v>68</v>
      </c>
      <c r="AN27" t="s">
        <v>69</v>
      </c>
      <c r="AO27" t="s">
        <v>70</v>
      </c>
      <c r="AV27" s="9">
        <f>AV25/10</f>
        <v>12.262923606418585</v>
      </c>
      <c r="AW27">
        <f>AW25*3413/10^6</f>
        <v>11.694288841924156</v>
      </c>
      <c r="AX27">
        <f>AX25*3413/10^6</f>
        <v>3.1693919274542313</v>
      </c>
      <c r="AY27" t="s">
        <v>187</v>
      </c>
    </row>
    <row r="28" spans="1:51" x14ac:dyDescent="0.2">
      <c r="A28">
        <v>1</v>
      </c>
      <c r="B28">
        <v>1</v>
      </c>
      <c r="C28">
        <v>7.3364997775229597</v>
      </c>
      <c r="D28">
        <v>0</v>
      </c>
      <c r="E28">
        <v>7.3364997775229597</v>
      </c>
      <c r="F28">
        <v>0</v>
      </c>
      <c r="G28">
        <v>1</v>
      </c>
      <c r="H28">
        <v>0</v>
      </c>
      <c r="I28">
        <v>7.3364997775229597</v>
      </c>
      <c r="J28">
        <v>7.3364997775229597</v>
      </c>
      <c r="K28">
        <v>0</v>
      </c>
      <c r="L28">
        <v>1</v>
      </c>
      <c r="M28">
        <v>0</v>
      </c>
      <c r="N28">
        <v>3.09459873775211</v>
      </c>
      <c r="O28">
        <v>3.0012953635321198</v>
      </c>
      <c r="P28">
        <v>9.3303374219992394E-2</v>
      </c>
      <c r="Q28">
        <v>1</v>
      </c>
      <c r="R28">
        <v>0</v>
      </c>
      <c r="S28">
        <v>7.3831514646329603</v>
      </c>
      <c r="T28">
        <v>7.3364997775229597</v>
      </c>
      <c r="U28">
        <v>4.6651687109996197E-2</v>
      </c>
      <c r="V28">
        <v>1</v>
      </c>
      <c r="W28">
        <v>3.8228517217799198</v>
      </c>
      <c r="X28">
        <v>0</v>
      </c>
      <c r="Y28">
        <v>3.8228517217799198</v>
      </c>
      <c r="Z28">
        <v>0</v>
      </c>
      <c r="AA28">
        <v>1</v>
      </c>
      <c r="AB28">
        <v>0</v>
      </c>
      <c r="AC28">
        <v>1.5638938861826901</v>
      </c>
      <c r="AD28">
        <v>1.5638938861826901</v>
      </c>
      <c r="AE28">
        <v>0</v>
      </c>
      <c r="AF28">
        <v>1</v>
      </c>
      <c r="AG28">
        <v>3.8228517217799198</v>
      </c>
      <c r="AH28">
        <v>2.4308933115322898E-2</v>
      </c>
      <c r="AI28">
        <v>3.8228517217799198</v>
      </c>
      <c r="AJ28">
        <v>2.4308933115322898E-2</v>
      </c>
      <c r="AK28">
        <v>1</v>
      </c>
      <c r="AL28">
        <v>0</v>
      </c>
      <c r="AM28">
        <v>3.84716065489524</v>
      </c>
      <c r="AN28">
        <v>3.8228517217799198</v>
      </c>
      <c r="AO28">
        <v>2.4308933115322898E-2</v>
      </c>
    </row>
    <row r="29" spans="1:51" x14ac:dyDescent="0.2">
      <c r="A29">
        <v>2</v>
      </c>
      <c r="B29">
        <v>1</v>
      </c>
      <c r="C29">
        <v>6.7068451048727002</v>
      </c>
      <c r="D29">
        <v>0</v>
      </c>
      <c r="E29">
        <v>6.7068451048727002</v>
      </c>
      <c r="F29">
        <v>0</v>
      </c>
      <c r="G29">
        <v>1</v>
      </c>
      <c r="H29">
        <v>0</v>
      </c>
      <c r="I29">
        <v>6.7068451048727002</v>
      </c>
      <c r="J29">
        <v>6.7068451048727002</v>
      </c>
      <c r="K29">
        <v>0</v>
      </c>
      <c r="L29">
        <v>1</v>
      </c>
      <c r="M29">
        <v>0</v>
      </c>
      <c r="N29">
        <v>3.0636472221350499</v>
      </c>
      <c r="O29">
        <v>2.74370936108429</v>
      </c>
      <c r="P29">
        <v>0.31993786105076</v>
      </c>
      <c r="Q29">
        <v>1</v>
      </c>
      <c r="R29">
        <v>0</v>
      </c>
      <c r="S29">
        <v>3.0636472221350499</v>
      </c>
      <c r="T29">
        <v>2.74370936108429</v>
      </c>
      <c r="U29">
        <v>0.31993786105076</v>
      </c>
      <c r="V29">
        <v>1</v>
      </c>
      <c r="W29">
        <v>3.49475569200255</v>
      </c>
      <c r="X29">
        <v>0</v>
      </c>
      <c r="Y29">
        <v>3.49475569200255</v>
      </c>
      <c r="Z29">
        <v>0</v>
      </c>
      <c r="AA29">
        <v>1</v>
      </c>
      <c r="AB29">
        <v>0</v>
      </c>
      <c r="AC29">
        <v>3.49475569200255</v>
      </c>
      <c r="AD29">
        <v>3.49475569200255</v>
      </c>
      <c r="AE29">
        <v>0</v>
      </c>
      <c r="AF29">
        <v>1</v>
      </c>
      <c r="AG29">
        <v>3.49475569200255</v>
      </c>
      <c r="AH29">
        <v>0.16671097118106001</v>
      </c>
      <c r="AI29">
        <v>3.49475569200255</v>
      </c>
      <c r="AJ29">
        <v>0.16671097118106001</v>
      </c>
      <c r="AK29">
        <v>1</v>
      </c>
      <c r="AL29">
        <v>0</v>
      </c>
      <c r="AM29">
        <v>1.5963837542730099</v>
      </c>
      <c r="AN29">
        <v>1.42967278309195</v>
      </c>
      <c r="AO29">
        <v>0.16671097118106001</v>
      </c>
      <c r="AV29" s="9"/>
    </row>
    <row r="30" spans="1:51" x14ac:dyDescent="0.2">
      <c r="A30">
        <v>3</v>
      </c>
      <c r="B30">
        <v>1</v>
      </c>
      <c r="C30">
        <v>0</v>
      </c>
      <c r="D30">
        <v>2.2549606991506801</v>
      </c>
      <c r="E30">
        <v>2.1269030200441401</v>
      </c>
      <c r="F30">
        <v>0.128057679106544</v>
      </c>
      <c r="G30">
        <v>1</v>
      </c>
      <c r="H30">
        <v>0</v>
      </c>
      <c r="I30">
        <v>5.1990962712190001</v>
      </c>
      <c r="J30">
        <v>5.1990962712190001</v>
      </c>
      <c r="K30">
        <v>0</v>
      </c>
      <c r="L30">
        <v>1</v>
      </c>
      <c r="M30">
        <v>5.1990962712190001</v>
      </c>
      <c r="N30">
        <v>0.128057679106544</v>
      </c>
      <c r="O30">
        <v>5.1990962712190001</v>
      </c>
      <c r="P30">
        <v>0.128057679106544</v>
      </c>
      <c r="Q30">
        <v>1</v>
      </c>
      <c r="R30">
        <v>0</v>
      </c>
      <c r="S30">
        <v>5.3271539503255401</v>
      </c>
      <c r="T30">
        <v>5.1990962712190001</v>
      </c>
      <c r="U30">
        <v>0.128057679106544</v>
      </c>
      <c r="V30">
        <v>1</v>
      </c>
      <c r="W30">
        <v>2.7091085306131699</v>
      </c>
      <c r="X30">
        <v>0</v>
      </c>
      <c r="Y30">
        <v>2.7091085306131699</v>
      </c>
      <c r="Z30">
        <v>0</v>
      </c>
      <c r="AA30">
        <v>1</v>
      </c>
      <c r="AB30">
        <v>0</v>
      </c>
      <c r="AC30">
        <v>1.17499906668091</v>
      </c>
      <c r="AD30">
        <v>1.10827167161448</v>
      </c>
      <c r="AE30">
        <v>6.6727395066435602E-2</v>
      </c>
      <c r="AF30">
        <v>1</v>
      </c>
      <c r="AG30">
        <v>0</v>
      </c>
      <c r="AH30">
        <v>1.17499906668091</v>
      </c>
      <c r="AI30">
        <v>1.10827167161448</v>
      </c>
      <c r="AJ30">
        <v>6.6727395066435602E-2</v>
      </c>
      <c r="AK30">
        <v>1</v>
      </c>
      <c r="AL30">
        <v>0</v>
      </c>
      <c r="AM30">
        <v>1.17499906668091</v>
      </c>
      <c r="AN30">
        <v>1.10827167161448</v>
      </c>
      <c r="AO30">
        <v>6.6727395066435602E-2</v>
      </c>
    </row>
    <row r="31" spans="1:51" x14ac:dyDescent="0.2">
      <c r="A31">
        <v>4</v>
      </c>
      <c r="B31">
        <v>1</v>
      </c>
      <c r="C31">
        <v>0</v>
      </c>
      <c r="D31">
        <v>2.5878714860586598</v>
      </c>
      <c r="E31">
        <v>2.0944941118348002</v>
      </c>
      <c r="F31">
        <v>0.49337737422386302</v>
      </c>
      <c r="G31">
        <v>1</v>
      </c>
      <c r="H31">
        <v>0</v>
      </c>
      <c r="I31">
        <v>2.5878714860586598</v>
      </c>
      <c r="J31">
        <v>2.0944941118348002</v>
      </c>
      <c r="K31">
        <v>0.49337737422386302</v>
      </c>
      <c r="L31">
        <v>1</v>
      </c>
      <c r="M31">
        <v>0</v>
      </c>
      <c r="N31">
        <v>3.0812488602825199</v>
      </c>
      <c r="O31">
        <v>2.0944941118348002</v>
      </c>
      <c r="P31">
        <v>0.98675474844772504</v>
      </c>
      <c r="Q31">
        <v>1</v>
      </c>
      <c r="R31">
        <v>0</v>
      </c>
      <c r="S31">
        <v>2.5878714860586598</v>
      </c>
      <c r="T31">
        <v>2.0944941118348002</v>
      </c>
      <c r="U31">
        <v>0.49337737422386302</v>
      </c>
      <c r="V31">
        <v>1</v>
      </c>
      <c r="W31">
        <v>2.6678282047730399</v>
      </c>
      <c r="X31">
        <v>0</v>
      </c>
      <c r="Y31">
        <v>2.6678282047730399</v>
      </c>
      <c r="Z31">
        <v>0</v>
      </c>
      <c r="AA31">
        <v>1</v>
      </c>
      <c r="AB31">
        <v>0</v>
      </c>
      <c r="AC31">
        <v>1.34846987885614</v>
      </c>
      <c r="AD31">
        <v>1.0913842655889701</v>
      </c>
      <c r="AE31">
        <v>0.25708561326717</v>
      </c>
      <c r="AF31">
        <v>1</v>
      </c>
      <c r="AG31">
        <v>0</v>
      </c>
      <c r="AH31">
        <v>1.34846987885614</v>
      </c>
      <c r="AI31">
        <v>1.0913842655889701</v>
      </c>
      <c r="AJ31">
        <v>0.25708561326717</v>
      </c>
      <c r="AK31">
        <v>1</v>
      </c>
      <c r="AL31">
        <v>0</v>
      </c>
      <c r="AM31">
        <v>1.34846987885614</v>
      </c>
      <c r="AN31">
        <v>1.0913842655889701</v>
      </c>
      <c r="AO31">
        <v>0.25708561326717</v>
      </c>
    </row>
    <row r="32" spans="1:51" x14ac:dyDescent="0.2">
      <c r="A32">
        <v>5</v>
      </c>
      <c r="B32">
        <v>1</v>
      </c>
      <c r="C32">
        <v>5.3359914994952504</v>
      </c>
      <c r="D32">
        <v>0</v>
      </c>
      <c r="E32">
        <v>5.3359914994952504</v>
      </c>
      <c r="F32">
        <v>0</v>
      </c>
      <c r="G32">
        <v>1</v>
      </c>
      <c r="H32">
        <v>0</v>
      </c>
      <c r="I32">
        <v>2.3044503983426701</v>
      </c>
      <c r="J32">
        <v>2.1829056134298699</v>
      </c>
      <c r="K32">
        <v>0.121544784912795</v>
      </c>
      <c r="L32">
        <v>1</v>
      </c>
      <c r="M32">
        <v>5.3359914994952504</v>
      </c>
      <c r="N32">
        <v>0.121544784912795</v>
      </c>
      <c r="O32">
        <v>5.3359914994952504</v>
      </c>
      <c r="P32">
        <v>0.121544784912795</v>
      </c>
      <c r="Q32">
        <v>1</v>
      </c>
      <c r="R32">
        <v>0</v>
      </c>
      <c r="S32">
        <v>5.4575362844080404</v>
      </c>
      <c r="T32">
        <v>5.3359914994952504</v>
      </c>
      <c r="U32">
        <v>0.121544784912795</v>
      </c>
      <c r="V32">
        <v>1</v>
      </c>
      <c r="W32">
        <v>2.7804409336649201</v>
      </c>
      <c r="X32">
        <v>0</v>
      </c>
      <c r="Y32">
        <v>2.7804409336649201</v>
      </c>
      <c r="Z32">
        <v>0</v>
      </c>
      <c r="AA32">
        <v>1</v>
      </c>
      <c r="AB32">
        <v>0</v>
      </c>
      <c r="AC32">
        <v>2.7804409336649201</v>
      </c>
      <c r="AD32">
        <v>2.7804409336649201</v>
      </c>
      <c r="AE32">
        <v>0</v>
      </c>
      <c r="AF32">
        <v>1</v>
      </c>
      <c r="AG32">
        <v>2.7804409336649201</v>
      </c>
      <c r="AH32">
        <v>6.3333701951549401E-2</v>
      </c>
      <c r="AI32">
        <v>2.7804409336649201</v>
      </c>
      <c r="AJ32">
        <v>6.3333701951549401E-2</v>
      </c>
      <c r="AK32">
        <v>1</v>
      </c>
      <c r="AL32">
        <v>0</v>
      </c>
      <c r="AM32">
        <v>1.2007868111781099</v>
      </c>
      <c r="AN32">
        <v>1.1374531092265601</v>
      </c>
      <c r="AO32">
        <v>6.3333701951549401E-2</v>
      </c>
    </row>
    <row r="33" spans="1:41" x14ac:dyDescent="0.2">
      <c r="A33">
        <v>6</v>
      </c>
      <c r="B33">
        <v>1</v>
      </c>
      <c r="C33">
        <v>2.6411835799090499</v>
      </c>
      <c r="D33">
        <v>0</v>
      </c>
      <c r="E33">
        <v>2.6411835799090499</v>
      </c>
      <c r="F33">
        <v>0</v>
      </c>
      <c r="G33">
        <v>1</v>
      </c>
      <c r="H33">
        <v>0</v>
      </c>
      <c r="I33">
        <v>1.08048419178098</v>
      </c>
      <c r="J33">
        <v>1.08048419178098</v>
      </c>
      <c r="K33">
        <v>0</v>
      </c>
      <c r="L33">
        <v>1</v>
      </c>
      <c r="M33">
        <v>2.6411835799090499</v>
      </c>
      <c r="N33">
        <v>0.51573952088830699</v>
      </c>
      <c r="O33">
        <v>2.6411835799090499</v>
      </c>
      <c r="P33">
        <v>0.51573952088830699</v>
      </c>
      <c r="Q33">
        <v>1</v>
      </c>
      <c r="R33">
        <v>0</v>
      </c>
      <c r="S33">
        <v>1.59622371266928</v>
      </c>
      <c r="T33">
        <v>1.08048419178098</v>
      </c>
      <c r="U33">
        <v>0.51573952088830699</v>
      </c>
      <c r="V33">
        <v>1</v>
      </c>
      <c r="W33">
        <v>1.37624936988701</v>
      </c>
      <c r="X33">
        <v>0</v>
      </c>
      <c r="Y33">
        <v>1.37624936988701</v>
      </c>
      <c r="Z33">
        <v>0</v>
      </c>
      <c r="AA33">
        <v>1</v>
      </c>
      <c r="AB33">
        <v>0</v>
      </c>
      <c r="AC33">
        <v>0.83174902928763805</v>
      </c>
      <c r="AD33">
        <v>0.56301110586286796</v>
      </c>
      <c r="AE33">
        <v>0.26873792342477099</v>
      </c>
      <c r="AF33">
        <v>1</v>
      </c>
      <c r="AG33">
        <v>0</v>
      </c>
      <c r="AH33">
        <v>0.83174902928763805</v>
      </c>
      <c r="AI33">
        <v>0.56301110586286796</v>
      </c>
      <c r="AJ33">
        <v>0.26873792342477099</v>
      </c>
      <c r="AK33">
        <v>1</v>
      </c>
      <c r="AL33">
        <v>0</v>
      </c>
      <c r="AM33">
        <v>0.83174902928763805</v>
      </c>
      <c r="AN33">
        <v>0.56301110586286796</v>
      </c>
      <c r="AO33">
        <v>0.26873792342477099</v>
      </c>
    </row>
    <row r="34" spans="1:41" x14ac:dyDescent="0.2">
      <c r="A34">
        <v>7</v>
      </c>
      <c r="B34">
        <v>1</v>
      </c>
      <c r="C34">
        <v>2.24444092758992</v>
      </c>
      <c r="D34">
        <v>0</v>
      </c>
      <c r="E34">
        <v>2.24444092758992</v>
      </c>
      <c r="F34">
        <v>0</v>
      </c>
      <c r="G34">
        <v>1</v>
      </c>
      <c r="H34">
        <v>0</v>
      </c>
      <c r="I34">
        <v>0.91818037946860298</v>
      </c>
      <c r="J34">
        <v>0.91818037946860298</v>
      </c>
      <c r="K34">
        <v>0</v>
      </c>
      <c r="L34">
        <v>1</v>
      </c>
      <c r="M34">
        <v>2.24444092758992</v>
      </c>
      <c r="N34">
        <v>0.76334357960766197</v>
      </c>
      <c r="O34">
        <v>2.24444092758992</v>
      </c>
      <c r="P34">
        <v>0.76334357960766197</v>
      </c>
      <c r="Q34">
        <v>1</v>
      </c>
      <c r="R34">
        <v>0</v>
      </c>
      <c r="S34">
        <v>3.0077845071975799</v>
      </c>
      <c r="T34">
        <v>2.24444092758992</v>
      </c>
      <c r="U34">
        <v>0.76334357960766197</v>
      </c>
      <c r="V34">
        <v>1</v>
      </c>
      <c r="W34">
        <v>0</v>
      </c>
      <c r="X34">
        <v>0.87619668194677602</v>
      </c>
      <c r="Y34">
        <v>0.47843897648712203</v>
      </c>
      <c r="Z34">
        <v>0.397757705459654</v>
      </c>
      <c r="AA34">
        <v>1</v>
      </c>
      <c r="AB34">
        <v>0</v>
      </c>
      <c r="AC34">
        <v>1.1695174980796299</v>
      </c>
      <c r="AD34">
        <v>1.1695174980796299</v>
      </c>
      <c r="AE34">
        <v>0</v>
      </c>
      <c r="AF34">
        <v>1</v>
      </c>
      <c r="AG34">
        <v>0</v>
      </c>
      <c r="AH34">
        <v>0.87619668194677602</v>
      </c>
      <c r="AI34">
        <v>0.47843897648712203</v>
      </c>
      <c r="AJ34">
        <v>0.397757705459654</v>
      </c>
      <c r="AK34">
        <v>1</v>
      </c>
      <c r="AL34">
        <v>0</v>
      </c>
      <c r="AM34">
        <v>0.87619668194677602</v>
      </c>
      <c r="AN34">
        <v>0.47843897648712203</v>
      </c>
      <c r="AO34">
        <v>0.397757705459654</v>
      </c>
    </row>
    <row r="35" spans="1:41" x14ac:dyDescent="0.2">
      <c r="A35">
        <v>8</v>
      </c>
      <c r="B35">
        <v>1</v>
      </c>
      <c r="C35">
        <v>2.2786647346589799</v>
      </c>
      <c r="D35">
        <v>0</v>
      </c>
      <c r="E35">
        <v>2.2786647346589799</v>
      </c>
      <c r="F35">
        <v>0</v>
      </c>
      <c r="G35">
        <v>1</v>
      </c>
      <c r="H35">
        <v>0</v>
      </c>
      <c r="I35">
        <v>0.93218102781503798</v>
      </c>
      <c r="J35">
        <v>0.93218102781503798</v>
      </c>
      <c r="K35">
        <v>0</v>
      </c>
      <c r="L35">
        <v>1</v>
      </c>
      <c r="M35">
        <v>2.2786647346589799</v>
      </c>
      <c r="N35">
        <v>0.86198333263360805</v>
      </c>
      <c r="O35">
        <v>2.2786647346589799</v>
      </c>
      <c r="P35">
        <v>0.86198333263360805</v>
      </c>
      <c r="Q35">
        <v>1</v>
      </c>
      <c r="R35">
        <v>0</v>
      </c>
      <c r="S35">
        <v>1.7941643604486499</v>
      </c>
      <c r="T35">
        <v>0.93218102781503798</v>
      </c>
      <c r="U35">
        <v>0.86198333263360805</v>
      </c>
      <c r="V35">
        <v>1</v>
      </c>
      <c r="W35">
        <v>1.1873505988425701</v>
      </c>
      <c r="X35">
        <v>0</v>
      </c>
      <c r="Y35">
        <v>1.1873505988425701</v>
      </c>
      <c r="Z35">
        <v>0</v>
      </c>
      <c r="AA35">
        <v>1</v>
      </c>
      <c r="AB35">
        <v>0</v>
      </c>
      <c r="AC35">
        <v>0.48573433589014198</v>
      </c>
      <c r="AD35">
        <v>0.48573433589014198</v>
      </c>
      <c r="AE35">
        <v>0</v>
      </c>
      <c r="AF35">
        <v>1</v>
      </c>
      <c r="AG35">
        <v>0</v>
      </c>
      <c r="AH35">
        <v>0.93489055032903301</v>
      </c>
      <c r="AI35">
        <v>0.48573433589014198</v>
      </c>
      <c r="AJ35">
        <v>0.44915621443889098</v>
      </c>
      <c r="AK35">
        <v>1</v>
      </c>
      <c r="AL35">
        <v>0</v>
      </c>
      <c r="AM35">
        <v>0.93489055032903301</v>
      </c>
      <c r="AN35">
        <v>0.48573433589014198</v>
      </c>
      <c r="AO35">
        <v>0.44915621443889098</v>
      </c>
    </row>
    <row r="36" spans="1:41" x14ac:dyDescent="0.2">
      <c r="A36">
        <v>9</v>
      </c>
      <c r="B36">
        <v>1</v>
      </c>
      <c r="C36">
        <v>2.48083870604844</v>
      </c>
      <c r="D36">
        <v>0</v>
      </c>
      <c r="E36">
        <v>2.48083870604844</v>
      </c>
      <c r="F36">
        <v>0</v>
      </c>
      <c r="G36">
        <v>1</v>
      </c>
      <c r="H36">
        <v>0</v>
      </c>
      <c r="I36">
        <v>2.48083870604844</v>
      </c>
      <c r="J36">
        <v>2.48083870604844</v>
      </c>
      <c r="K36">
        <v>0</v>
      </c>
      <c r="L36">
        <v>1</v>
      </c>
      <c r="M36">
        <v>2.48083870604844</v>
      </c>
      <c r="N36">
        <v>1.0409323602023</v>
      </c>
      <c r="O36">
        <v>2.48083870604844</v>
      </c>
      <c r="P36">
        <v>1.0409323602023</v>
      </c>
      <c r="Q36">
        <v>1</v>
      </c>
      <c r="R36">
        <v>0</v>
      </c>
      <c r="S36">
        <v>3.5217710662507402</v>
      </c>
      <c r="T36">
        <v>2.48083870604844</v>
      </c>
      <c r="U36">
        <v>1.0409323602023</v>
      </c>
      <c r="V36">
        <v>1</v>
      </c>
      <c r="W36">
        <v>0</v>
      </c>
      <c r="X36">
        <v>1.0712327116165801</v>
      </c>
      <c r="Y36">
        <v>0.52883099606723905</v>
      </c>
      <c r="Z36">
        <v>0.54240171554933703</v>
      </c>
      <c r="AA36">
        <v>1</v>
      </c>
      <c r="AB36">
        <v>0</v>
      </c>
      <c r="AC36">
        <v>1.2926979903865801</v>
      </c>
      <c r="AD36">
        <v>1.2926979903865801</v>
      </c>
      <c r="AE36">
        <v>0</v>
      </c>
      <c r="AF36">
        <v>1</v>
      </c>
      <c r="AG36">
        <v>0</v>
      </c>
      <c r="AH36">
        <v>1.0712327116165801</v>
      </c>
      <c r="AI36">
        <v>0.52883099606723905</v>
      </c>
      <c r="AJ36">
        <v>0.54240171554933703</v>
      </c>
      <c r="AK36">
        <v>1</v>
      </c>
      <c r="AL36">
        <v>0</v>
      </c>
      <c r="AM36">
        <v>1.0712327116165801</v>
      </c>
      <c r="AN36">
        <v>0.52883099606723905</v>
      </c>
      <c r="AO36">
        <v>0.54240171554933703</v>
      </c>
    </row>
    <row r="37" spans="1:41" x14ac:dyDescent="0.2">
      <c r="A37">
        <v>10</v>
      </c>
      <c r="B37">
        <v>1</v>
      </c>
      <c r="C37">
        <v>2.843927948083</v>
      </c>
      <c r="D37">
        <v>0</v>
      </c>
      <c r="E37">
        <v>2.843927948083</v>
      </c>
      <c r="F37">
        <v>0</v>
      </c>
      <c r="G37">
        <v>1</v>
      </c>
      <c r="H37">
        <v>0</v>
      </c>
      <c r="I37">
        <v>2.843927948083</v>
      </c>
      <c r="J37">
        <v>2.843927948083</v>
      </c>
      <c r="K37">
        <v>0</v>
      </c>
      <c r="L37">
        <v>1</v>
      </c>
      <c r="M37">
        <v>0</v>
      </c>
      <c r="N37">
        <v>2.4090132034329499</v>
      </c>
      <c r="O37">
        <v>1.1634250696703199</v>
      </c>
      <c r="P37">
        <v>1.24558813376264</v>
      </c>
      <c r="Q37">
        <v>1</v>
      </c>
      <c r="R37">
        <v>0</v>
      </c>
      <c r="S37">
        <v>4.0895160818456402</v>
      </c>
      <c r="T37">
        <v>2.843927948083</v>
      </c>
      <c r="U37">
        <v>1.24558813376264</v>
      </c>
      <c r="V37">
        <v>1</v>
      </c>
      <c r="W37">
        <v>0</v>
      </c>
      <c r="X37">
        <v>1.2552716624825699</v>
      </c>
      <c r="Y37">
        <v>0.60622935536334899</v>
      </c>
      <c r="Z37">
        <v>0.64904230711921695</v>
      </c>
      <c r="AA37">
        <v>1</v>
      </c>
      <c r="AB37">
        <v>0</v>
      </c>
      <c r="AC37">
        <v>1.48189397977707</v>
      </c>
      <c r="AD37">
        <v>1.48189397977707</v>
      </c>
      <c r="AE37">
        <v>0</v>
      </c>
      <c r="AF37">
        <v>1</v>
      </c>
      <c r="AG37">
        <v>0</v>
      </c>
      <c r="AH37">
        <v>1.2552716624825699</v>
      </c>
      <c r="AI37">
        <v>0.60622935536334899</v>
      </c>
      <c r="AJ37">
        <v>0.64904230711921695</v>
      </c>
      <c r="AK37">
        <v>1</v>
      </c>
      <c r="AL37">
        <v>0</v>
      </c>
      <c r="AM37">
        <v>2.13093628689629</v>
      </c>
      <c r="AN37">
        <v>1.48189397977707</v>
      </c>
      <c r="AO37">
        <v>0.64904230711921695</v>
      </c>
    </row>
    <row r="38" spans="1:41" x14ac:dyDescent="0.2">
      <c r="A38">
        <v>11</v>
      </c>
      <c r="B38">
        <v>1</v>
      </c>
      <c r="C38">
        <v>4.5779975503360104</v>
      </c>
      <c r="D38">
        <v>0</v>
      </c>
      <c r="E38">
        <v>4.5779975503360104</v>
      </c>
      <c r="F38">
        <v>0</v>
      </c>
      <c r="G38">
        <v>1</v>
      </c>
      <c r="H38">
        <v>0</v>
      </c>
      <c r="I38">
        <v>3.1623258658508502</v>
      </c>
      <c r="J38">
        <v>1.8728171796829101</v>
      </c>
      <c r="K38">
        <v>1.2895086861679299</v>
      </c>
      <c r="L38">
        <v>1</v>
      </c>
      <c r="M38">
        <v>0</v>
      </c>
      <c r="N38">
        <v>3.1623258658508502</v>
      </c>
      <c r="O38">
        <v>1.8728171796829101</v>
      </c>
      <c r="P38">
        <v>1.2895086861679299</v>
      </c>
      <c r="Q38">
        <v>1</v>
      </c>
      <c r="R38">
        <v>0</v>
      </c>
      <c r="S38">
        <v>3.1623258658508502</v>
      </c>
      <c r="T38">
        <v>1.8728171796829101</v>
      </c>
      <c r="U38">
        <v>1.2895086861679299</v>
      </c>
      <c r="V38">
        <v>1</v>
      </c>
      <c r="W38">
        <v>2.3854707760265401</v>
      </c>
      <c r="X38">
        <v>0</v>
      </c>
      <c r="Y38">
        <v>2.3854707760265401</v>
      </c>
      <c r="Z38">
        <v>0</v>
      </c>
      <c r="AA38">
        <v>1</v>
      </c>
      <c r="AB38">
        <v>0</v>
      </c>
      <c r="AC38">
        <v>2.3854707760265401</v>
      </c>
      <c r="AD38">
        <v>2.3854707760265401</v>
      </c>
      <c r="AE38">
        <v>0</v>
      </c>
      <c r="AF38">
        <v>1</v>
      </c>
      <c r="AG38">
        <v>2.3854707760265401</v>
      </c>
      <c r="AH38">
        <v>0.67192811976498601</v>
      </c>
      <c r="AI38">
        <v>2.3854707760265401</v>
      </c>
      <c r="AJ38">
        <v>0.67192811976498601</v>
      </c>
      <c r="AK38">
        <v>1</v>
      </c>
      <c r="AL38">
        <v>0</v>
      </c>
      <c r="AM38">
        <v>1.6478025281394799</v>
      </c>
      <c r="AN38">
        <v>0.97587440837449402</v>
      </c>
      <c r="AO38">
        <v>0.67192811976498601</v>
      </c>
    </row>
    <row r="39" spans="1:41" x14ac:dyDescent="0.2">
      <c r="A39">
        <v>12</v>
      </c>
      <c r="B39">
        <v>1</v>
      </c>
      <c r="C39">
        <v>4.1983668015514102</v>
      </c>
      <c r="D39">
        <v>0</v>
      </c>
      <c r="E39">
        <v>4.1983668015514102</v>
      </c>
      <c r="F39">
        <v>0</v>
      </c>
      <c r="G39">
        <v>1</v>
      </c>
      <c r="H39">
        <v>0</v>
      </c>
      <c r="I39">
        <v>4.1983668015514102</v>
      </c>
      <c r="J39">
        <v>4.1983668015514102</v>
      </c>
      <c r="K39">
        <v>0</v>
      </c>
      <c r="L39">
        <v>1</v>
      </c>
      <c r="M39">
        <v>0</v>
      </c>
      <c r="N39">
        <v>4.0480195557304102</v>
      </c>
      <c r="O39">
        <v>1.7175136915437601</v>
      </c>
      <c r="P39">
        <v>2.3305058641866498</v>
      </c>
      <c r="Q39">
        <v>1</v>
      </c>
      <c r="R39">
        <v>0</v>
      </c>
      <c r="S39">
        <v>2.8827666236370799</v>
      </c>
      <c r="T39">
        <v>1.7175136915437601</v>
      </c>
      <c r="U39">
        <v>1.16525293209333</v>
      </c>
      <c r="V39">
        <v>1</v>
      </c>
      <c r="W39">
        <v>2.1876554546006299</v>
      </c>
      <c r="X39">
        <v>0</v>
      </c>
      <c r="Y39">
        <v>2.1876554546006299</v>
      </c>
      <c r="Z39">
        <v>0</v>
      </c>
      <c r="AA39">
        <v>1</v>
      </c>
      <c r="AB39">
        <v>0</v>
      </c>
      <c r="AC39">
        <v>1.5021317637634499</v>
      </c>
      <c r="AD39">
        <v>0.89494995870025795</v>
      </c>
      <c r="AE39">
        <v>0.60718180506318697</v>
      </c>
      <c r="AF39">
        <v>1</v>
      </c>
      <c r="AG39">
        <v>0</v>
      </c>
      <c r="AH39">
        <v>2.10931356882663</v>
      </c>
      <c r="AI39">
        <v>0.89494995870025795</v>
      </c>
      <c r="AJ39">
        <v>1.21436361012637</v>
      </c>
      <c r="AK39">
        <v>1</v>
      </c>
      <c r="AL39">
        <v>0</v>
      </c>
      <c r="AM39">
        <v>1.5021317637634499</v>
      </c>
      <c r="AN39">
        <v>0.89494995870025795</v>
      </c>
      <c r="AO39">
        <v>0.60718180506318697</v>
      </c>
    </row>
    <row r="40" spans="1:41" x14ac:dyDescent="0.2">
      <c r="A40">
        <v>13</v>
      </c>
      <c r="B40">
        <v>1</v>
      </c>
      <c r="C40">
        <v>0</v>
      </c>
      <c r="D40">
        <v>3.1614961978006901</v>
      </c>
      <c r="E40">
        <v>1.5972118242706901</v>
      </c>
      <c r="F40">
        <v>1.56428437353</v>
      </c>
      <c r="G40">
        <v>1</v>
      </c>
      <c r="H40">
        <v>0</v>
      </c>
      <c r="I40">
        <v>3.1614961978006901</v>
      </c>
      <c r="J40">
        <v>1.5972118242706901</v>
      </c>
      <c r="K40">
        <v>1.56428437353</v>
      </c>
      <c r="L40">
        <v>1</v>
      </c>
      <c r="M40">
        <v>0</v>
      </c>
      <c r="N40">
        <v>3.1614961978006901</v>
      </c>
      <c r="O40">
        <v>1.5972118242706901</v>
      </c>
      <c r="P40">
        <v>1.56428437353</v>
      </c>
      <c r="Q40">
        <v>1</v>
      </c>
      <c r="R40">
        <v>0</v>
      </c>
      <c r="S40">
        <v>5.46857994396946</v>
      </c>
      <c r="T40">
        <v>3.90429557043946</v>
      </c>
      <c r="U40">
        <v>1.56428437353</v>
      </c>
      <c r="V40">
        <v>1</v>
      </c>
      <c r="W40">
        <v>2.0344228850820598</v>
      </c>
      <c r="X40">
        <v>0</v>
      </c>
      <c r="Y40">
        <v>2.0344228850820598</v>
      </c>
      <c r="Z40">
        <v>0</v>
      </c>
      <c r="AA40">
        <v>1</v>
      </c>
      <c r="AB40">
        <v>0</v>
      </c>
      <c r="AC40">
        <v>2.0344228850820598</v>
      </c>
      <c r="AD40">
        <v>2.0344228850820598</v>
      </c>
      <c r="AE40">
        <v>0</v>
      </c>
      <c r="AF40">
        <v>1</v>
      </c>
      <c r="AG40">
        <v>2.0344228850820598</v>
      </c>
      <c r="AH40">
        <v>0.81510630301165499</v>
      </c>
      <c r="AI40">
        <v>2.0344228850820598</v>
      </c>
      <c r="AJ40">
        <v>0.81510630301165499</v>
      </c>
      <c r="AK40">
        <v>1</v>
      </c>
      <c r="AL40">
        <v>0</v>
      </c>
      <c r="AM40">
        <v>1.6473702105452299</v>
      </c>
      <c r="AN40">
        <v>0.83226390753357204</v>
      </c>
      <c r="AO40">
        <v>0.81510630301165499</v>
      </c>
    </row>
    <row r="41" spans="1:41" x14ac:dyDescent="0.2">
      <c r="A41">
        <v>14</v>
      </c>
      <c r="B41">
        <v>1</v>
      </c>
      <c r="C41">
        <v>3.7762731810329702</v>
      </c>
      <c r="D41">
        <v>0</v>
      </c>
      <c r="E41">
        <v>3.7762731810329702</v>
      </c>
      <c r="F41">
        <v>0</v>
      </c>
      <c r="G41">
        <v>1</v>
      </c>
      <c r="H41">
        <v>0</v>
      </c>
      <c r="I41">
        <v>3.7762731810329702</v>
      </c>
      <c r="J41">
        <v>3.7762731810329702</v>
      </c>
      <c r="K41">
        <v>0</v>
      </c>
      <c r="L41">
        <v>1</v>
      </c>
      <c r="M41">
        <v>3.7762731810329702</v>
      </c>
      <c r="N41">
        <v>2.0594924909687098</v>
      </c>
      <c r="O41">
        <v>3.7762731810329702</v>
      </c>
      <c r="P41">
        <v>2.0594924909687098</v>
      </c>
      <c r="Q41">
        <v>1</v>
      </c>
      <c r="R41">
        <v>0</v>
      </c>
      <c r="S41">
        <v>3.6043315195730998</v>
      </c>
      <c r="T41">
        <v>1.54483902860439</v>
      </c>
      <c r="U41">
        <v>2.0594924909687098</v>
      </c>
      <c r="V41">
        <v>1</v>
      </c>
      <c r="W41">
        <v>1.9677138785244099</v>
      </c>
      <c r="X41">
        <v>0</v>
      </c>
      <c r="Y41">
        <v>1.9677138785244099</v>
      </c>
      <c r="Z41">
        <v>0</v>
      </c>
      <c r="AA41">
        <v>1</v>
      </c>
      <c r="AB41">
        <v>0</v>
      </c>
      <c r="AC41">
        <v>0.80497385939635002</v>
      </c>
      <c r="AD41">
        <v>0.80497385939635002</v>
      </c>
      <c r="AE41">
        <v>0</v>
      </c>
      <c r="AF41">
        <v>1</v>
      </c>
      <c r="AG41">
        <v>1.9677138785244099</v>
      </c>
      <c r="AH41">
        <v>1.07314586708142</v>
      </c>
      <c r="AI41">
        <v>1.9677138785244099</v>
      </c>
      <c r="AJ41">
        <v>1.07314586708142</v>
      </c>
      <c r="AK41">
        <v>1</v>
      </c>
      <c r="AL41">
        <v>0</v>
      </c>
      <c r="AM41">
        <v>1.87811972647777</v>
      </c>
      <c r="AN41">
        <v>0.80497385939635002</v>
      </c>
      <c r="AO41">
        <v>1.07314586708142</v>
      </c>
    </row>
    <row r="42" spans="1:41" x14ac:dyDescent="0.2">
      <c r="A42">
        <v>15</v>
      </c>
      <c r="B42">
        <v>1</v>
      </c>
      <c r="C42">
        <v>1.7831166837830501</v>
      </c>
      <c r="D42">
        <v>0</v>
      </c>
      <c r="E42">
        <v>1.7831166837830501</v>
      </c>
      <c r="F42">
        <v>0</v>
      </c>
      <c r="G42">
        <v>1</v>
      </c>
      <c r="H42">
        <v>0</v>
      </c>
      <c r="I42">
        <v>0.72945682518397603</v>
      </c>
      <c r="J42">
        <v>0.72945682518397603</v>
      </c>
      <c r="K42">
        <v>0</v>
      </c>
      <c r="L42">
        <v>1</v>
      </c>
      <c r="M42">
        <v>1.7831166837830501</v>
      </c>
      <c r="N42">
        <v>3.0412231384460302</v>
      </c>
      <c r="O42">
        <v>1.7831166837830501</v>
      </c>
      <c r="P42">
        <v>3.0412231384460302</v>
      </c>
      <c r="Q42">
        <v>1</v>
      </c>
      <c r="R42">
        <v>0</v>
      </c>
      <c r="S42">
        <v>3.7706799636300001</v>
      </c>
      <c r="T42">
        <v>0.72945682518397603</v>
      </c>
      <c r="U42">
        <v>3.0412231384460302</v>
      </c>
      <c r="V42">
        <v>1</v>
      </c>
      <c r="W42">
        <v>0.92913390464737899</v>
      </c>
      <c r="X42">
        <v>0</v>
      </c>
      <c r="Y42">
        <v>0.92913390464737899</v>
      </c>
      <c r="Z42">
        <v>0</v>
      </c>
      <c r="AA42">
        <v>1</v>
      </c>
      <c r="AB42">
        <v>0</v>
      </c>
      <c r="AC42">
        <v>0.38010023371938201</v>
      </c>
      <c r="AD42">
        <v>0.38010023371938201</v>
      </c>
      <c r="AE42">
        <v>0</v>
      </c>
      <c r="AF42">
        <v>1</v>
      </c>
      <c r="AG42">
        <v>0</v>
      </c>
      <c r="AH42">
        <v>1.9647994041254999</v>
      </c>
      <c r="AI42">
        <v>0.38010023371938201</v>
      </c>
      <c r="AJ42">
        <v>1.58469917040612</v>
      </c>
      <c r="AK42">
        <v>1</v>
      </c>
      <c r="AL42">
        <v>0</v>
      </c>
      <c r="AM42">
        <v>1.9647994041254999</v>
      </c>
      <c r="AN42">
        <v>0.38010023371938201</v>
      </c>
      <c r="AO42">
        <v>1.58469917040612</v>
      </c>
    </row>
    <row r="43" spans="1:41" x14ac:dyDescent="0.2">
      <c r="A43">
        <v>16</v>
      </c>
      <c r="B43">
        <v>1</v>
      </c>
      <c r="C43">
        <v>10.3421739446531</v>
      </c>
      <c r="D43">
        <v>0</v>
      </c>
      <c r="E43">
        <v>10.3421739446531</v>
      </c>
      <c r="F43">
        <v>0</v>
      </c>
      <c r="G43">
        <v>1</v>
      </c>
      <c r="H43">
        <v>0</v>
      </c>
      <c r="I43">
        <v>4.2308893409944703</v>
      </c>
      <c r="J43">
        <v>4.2308893409944703</v>
      </c>
      <c r="K43">
        <v>0</v>
      </c>
      <c r="L43">
        <v>1</v>
      </c>
      <c r="M43">
        <v>0</v>
      </c>
      <c r="N43">
        <v>4.4624286640134301</v>
      </c>
      <c r="O43">
        <v>4.2308893409944703</v>
      </c>
      <c r="P43">
        <v>0.23153932301896599</v>
      </c>
      <c r="Q43">
        <v>1</v>
      </c>
      <c r="R43">
        <v>0</v>
      </c>
      <c r="S43">
        <v>4.4624286640134301</v>
      </c>
      <c r="T43">
        <v>4.2308893409944703</v>
      </c>
      <c r="U43">
        <v>0.23153932301896599</v>
      </c>
      <c r="V43">
        <v>1</v>
      </c>
      <c r="W43">
        <v>0</v>
      </c>
      <c r="X43">
        <v>2.3252509532963601</v>
      </c>
      <c r="Y43">
        <v>2.2046020707904801</v>
      </c>
      <c r="Z43">
        <v>0.120648882505884</v>
      </c>
      <c r="AA43">
        <v>1</v>
      </c>
      <c r="AB43">
        <v>0</v>
      </c>
      <c r="AC43">
        <v>5.3890272841545004</v>
      </c>
      <c r="AD43">
        <v>5.3890272841545004</v>
      </c>
      <c r="AE43">
        <v>0</v>
      </c>
      <c r="AF43">
        <v>1</v>
      </c>
      <c r="AG43">
        <v>5.3890272841545004</v>
      </c>
      <c r="AH43">
        <v>0.120648882505884</v>
      </c>
      <c r="AI43">
        <v>5.3890272841545004</v>
      </c>
      <c r="AJ43">
        <v>0.120648882505884</v>
      </c>
      <c r="AK43">
        <v>1</v>
      </c>
      <c r="AL43">
        <v>0</v>
      </c>
      <c r="AM43">
        <v>5.5096761666603804</v>
      </c>
      <c r="AN43">
        <v>5.3890272841545004</v>
      </c>
      <c r="AO43">
        <v>0.120648882505884</v>
      </c>
    </row>
    <row r="46" spans="1:41" x14ac:dyDescent="0.2">
      <c r="B46">
        <v>2039</v>
      </c>
      <c r="C46" t="s">
        <v>15</v>
      </c>
      <c r="H46" t="s">
        <v>16</v>
      </c>
      <c r="M46" t="s">
        <v>17</v>
      </c>
      <c r="R46" t="s">
        <v>18</v>
      </c>
      <c r="W46" t="s">
        <v>63</v>
      </c>
      <c r="AB46" t="s">
        <v>64</v>
      </c>
      <c r="AG46" t="s">
        <v>65</v>
      </c>
      <c r="AL46" t="s">
        <v>66</v>
      </c>
    </row>
    <row r="47" spans="1:41" x14ac:dyDescent="0.2">
      <c r="B47" t="s">
        <v>181</v>
      </c>
      <c r="C47" t="s">
        <v>67</v>
      </c>
      <c r="D47" t="s">
        <v>68</v>
      </c>
      <c r="E47" t="s">
        <v>69</v>
      </c>
      <c r="F47" t="s">
        <v>70</v>
      </c>
      <c r="G47" t="s">
        <v>181</v>
      </c>
      <c r="H47" t="s">
        <v>67</v>
      </c>
      <c r="I47" t="s">
        <v>68</v>
      </c>
      <c r="J47" t="s">
        <v>69</v>
      </c>
      <c r="K47" t="s">
        <v>70</v>
      </c>
      <c r="L47" t="s">
        <v>181</v>
      </c>
      <c r="M47" t="s">
        <v>67</v>
      </c>
      <c r="N47" t="s">
        <v>68</v>
      </c>
      <c r="O47" t="s">
        <v>69</v>
      </c>
      <c r="P47" t="s">
        <v>70</v>
      </c>
      <c r="Q47" t="s">
        <v>181</v>
      </c>
      <c r="R47" t="s">
        <v>67</v>
      </c>
      <c r="S47" t="s">
        <v>68</v>
      </c>
      <c r="T47" t="s">
        <v>69</v>
      </c>
      <c r="U47" t="s">
        <v>70</v>
      </c>
      <c r="V47" t="s">
        <v>181</v>
      </c>
      <c r="W47" t="s">
        <v>67</v>
      </c>
      <c r="X47" t="s">
        <v>68</v>
      </c>
      <c r="Y47" t="s">
        <v>69</v>
      </c>
      <c r="Z47" t="s">
        <v>70</v>
      </c>
      <c r="AA47" t="s">
        <v>181</v>
      </c>
      <c r="AB47" t="s">
        <v>67</v>
      </c>
      <c r="AC47" t="s">
        <v>68</v>
      </c>
      <c r="AD47" t="s">
        <v>69</v>
      </c>
      <c r="AE47" t="s">
        <v>70</v>
      </c>
      <c r="AF47" t="s">
        <v>181</v>
      </c>
      <c r="AG47" t="s">
        <v>67</v>
      </c>
      <c r="AH47" t="s">
        <v>68</v>
      </c>
      <c r="AI47" t="s">
        <v>69</v>
      </c>
      <c r="AJ47" t="s">
        <v>70</v>
      </c>
      <c r="AK47" t="s">
        <v>181</v>
      </c>
      <c r="AL47" t="s">
        <v>67</v>
      </c>
      <c r="AM47" t="s">
        <v>68</v>
      </c>
      <c r="AN47" t="s">
        <v>69</v>
      </c>
      <c r="AO47" t="s">
        <v>70</v>
      </c>
    </row>
    <row r="48" spans="1:41" x14ac:dyDescent="0.2">
      <c r="A48">
        <v>1</v>
      </c>
      <c r="B48">
        <v>1</v>
      </c>
      <c r="C48">
        <v>7.3364997775229597</v>
      </c>
      <c r="D48">
        <v>0</v>
      </c>
      <c r="E48">
        <v>7.3364997775229597</v>
      </c>
      <c r="F48">
        <v>0</v>
      </c>
      <c r="G48">
        <v>1</v>
      </c>
      <c r="H48">
        <v>0</v>
      </c>
      <c r="I48">
        <v>3.04794705064212</v>
      </c>
      <c r="J48">
        <v>3.0012953635321198</v>
      </c>
      <c r="K48">
        <v>4.6651687109996197E-2</v>
      </c>
      <c r="L48">
        <v>1</v>
      </c>
      <c r="M48">
        <v>0</v>
      </c>
      <c r="N48">
        <v>3.04794705064212</v>
      </c>
      <c r="O48">
        <v>3.0012953635321198</v>
      </c>
      <c r="P48">
        <v>4.6651687109996197E-2</v>
      </c>
      <c r="Q48">
        <v>1</v>
      </c>
      <c r="R48">
        <v>0</v>
      </c>
      <c r="S48">
        <v>7.3831514646329603</v>
      </c>
      <c r="T48">
        <v>7.3364997775229597</v>
      </c>
      <c r="U48">
        <v>4.6651687109996197E-2</v>
      </c>
      <c r="V48">
        <v>1</v>
      </c>
      <c r="W48">
        <v>0</v>
      </c>
      <c r="X48">
        <v>1.58820281929802</v>
      </c>
      <c r="Y48">
        <v>1.5638938861826901</v>
      </c>
      <c r="Z48">
        <v>2.4308933115322898E-2</v>
      </c>
      <c r="AA48">
        <v>1</v>
      </c>
      <c r="AB48">
        <v>0</v>
      </c>
      <c r="AC48">
        <v>1.5638938861826901</v>
      </c>
      <c r="AD48">
        <v>1.5638938861826901</v>
      </c>
      <c r="AE48">
        <v>0</v>
      </c>
      <c r="AF48">
        <v>1</v>
      </c>
      <c r="AG48">
        <v>0</v>
      </c>
      <c r="AH48">
        <v>1.58820281929802</v>
      </c>
      <c r="AI48">
        <v>1.5638938861826901</v>
      </c>
      <c r="AJ48">
        <v>2.4308933115322898E-2</v>
      </c>
      <c r="AK48">
        <v>1</v>
      </c>
      <c r="AL48">
        <v>0</v>
      </c>
      <c r="AM48">
        <v>1.58820281929802</v>
      </c>
      <c r="AN48">
        <v>1.5638938861826901</v>
      </c>
      <c r="AO48">
        <v>2.4308933115322898E-2</v>
      </c>
    </row>
    <row r="49" spans="1:41" x14ac:dyDescent="0.2">
      <c r="A49">
        <v>2</v>
      </c>
      <c r="B49">
        <v>1</v>
      </c>
      <c r="C49">
        <v>6.7068451048727002</v>
      </c>
      <c r="D49">
        <v>0</v>
      </c>
      <c r="E49">
        <v>6.7068451048727002</v>
      </c>
      <c r="F49">
        <v>0</v>
      </c>
      <c r="G49">
        <v>1</v>
      </c>
      <c r="H49">
        <v>0</v>
      </c>
      <c r="I49">
        <v>6.7068451048727002</v>
      </c>
      <c r="J49">
        <v>6.7068451048727002</v>
      </c>
      <c r="K49">
        <v>0</v>
      </c>
      <c r="L49">
        <v>1</v>
      </c>
      <c r="M49">
        <v>0</v>
      </c>
      <c r="N49">
        <v>3.0636472221350499</v>
      </c>
      <c r="O49">
        <v>2.74370936108429</v>
      </c>
      <c r="P49">
        <v>0.31993786105076</v>
      </c>
      <c r="Q49">
        <v>1</v>
      </c>
      <c r="R49">
        <v>0</v>
      </c>
      <c r="S49">
        <v>3.0636472221350499</v>
      </c>
      <c r="T49">
        <v>2.74370936108429</v>
      </c>
      <c r="U49">
        <v>0.31993786105076</v>
      </c>
      <c r="V49">
        <v>1</v>
      </c>
      <c r="W49">
        <v>0</v>
      </c>
      <c r="X49">
        <v>1.5963837542730099</v>
      </c>
      <c r="Y49">
        <v>1.42967278309195</v>
      </c>
      <c r="Z49">
        <v>0.16671097118106001</v>
      </c>
      <c r="AA49">
        <v>1</v>
      </c>
      <c r="AB49">
        <v>0</v>
      </c>
      <c r="AC49">
        <v>1.5963837542730099</v>
      </c>
      <c r="AD49">
        <v>1.42967278309195</v>
      </c>
      <c r="AE49">
        <v>0.16671097118106001</v>
      </c>
      <c r="AF49">
        <v>1</v>
      </c>
      <c r="AG49">
        <v>0</v>
      </c>
      <c r="AH49">
        <v>1.5963837542730099</v>
      </c>
      <c r="AI49">
        <v>1.42967278309195</v>
      </c>
      <c r="AJ49">
        <v>0.16671097118106001</v>
      </c>
      <c r="AK49">
        <v>1</v>
      </c>
      <c r="AL49">
        <v>0</v>
      </c>
      <c r="AM49">
        <v>1.5963837542730099</v>
      </c>
      <c r="AN49">
        <v>1.42967278309195</v>
      </c>
      <c r="AO49">
        <v>0.16671097118106001</v>
      </c>
    </row>
    <row r="50" spans="1:41" x14ac:dyDescent="0.2">
      <c r="A50">
        <v>3</v>
      </c>
      <c r="B50">
        <v>1</v>
      </c>
      <c r="C50">
        <v>0</v>
      </c>
      <c r="D50">
        <v>2.2549606991506801</v>
      </c>
      <c r="E50">
        <v>2.1269030200441401</v>
      </c>
      <c r="F50">
        <v>0.128057679106544</v>
      </c>
      <c r="G50">
        <v>1</v>
      </c>
      <c r="H50">
        <v>0</v>
      </c>
      <c r="I50">
        <v>2.2549606991506801</v>
      </c>
      <c r="J50">
        <v>2.1269030200441401</v>
      </c>
      <c r="K50">
        <v>0.128057679106544</v>
      </c>
      <c r="L50">
        <v>1</v>
      </c>
      <c r="M50">
        <v>0</v>
      </c>
      <c r="N50">
        <v>2.2549606991506801</v>
      </c>
      <c r="O50">
        <v>2.1269030200441401</v>
      </c>
      <c r="P50">
        <v>0.128057679106544</v>
      </c>
      <c r="Q50">
        <v>1</v>
      </c>
      <c r="R50">
        <v>0</v>
      </c>
      <c r="S50">
        <v>2.2549606991506801</v>
      </c>
      <c r="T50">
        <v>2.1269030200441401</v>
      </c>
      <c r="U50">
        <v>0.128057679106544</v>
      </c>
      <c r="V50">
        <v>1</v>
      </c>
      <c r="W50">
        <v>0</v>
      </c>
      <c r="X50">
        <v>1.17499906668091</v>
      </c>
      <c r="Y50">
        <v>1.10827167161448</v>
      </c>
      <c r="Z50">
        <v>6.6727395066435602E-2</v>
      </c>
      <c r="AA50">
        <v>1</v>
      </c>
      <c r="AB50">
        <v>0</v>
      </c>
      <c r="AC50">
        <v>1.17499906668091</v>
      </c>
      <c r="AD50">
        <v>1.10827167161448</v>
      </c>
      <c r="AE50">
        <v>6.6727395066435602E-2</v>
      </c>
      <c r="AF50">
        <v>1</v>
      </c>
      <c r="AG50">
        <v>0</v>
      </c>
      <c r="AH50">
        <v>1.17499906668091</v>
      </c>
      <c r="AI50">
        <v>1.10827167161448</v>
      </c>
      <c r="AJ50">
        <v>6.6727395066435602E-2</v>
      </c>
      <c r="AK50">
        <v>1</v>
      </c>
      <c r="AL50">
        <v>0</v>
      </c>
      <c r="AM50">
        <v>1.17499906668091</v>
      </c>
      <c r="AN50">
        <v>1.10827167161448</v>
      </c>
      <c r="AO50">
        <v>6.6727395066435602E-2</v>
      </c>
    </row>
    <row r="51" spans="1:41" x14ac:dyDescent="0.2">
      <c r="A51">
        <v>4</v>
      </c>
      <c r="B51">
        <v>1</v>
      </c>
      <c r="C51">
        <v>0</v>
      </c>
      <c r="D51">
        <v>2.5878714860586598</v>
      </c>
      <c r="E51">
        <v>2.0944941118348002</v>
      </c>
      <c r="F51">
        <v>0.49337737422386302</v>
      </c>
      <c r="G51">
        <v>1</v>
      </c>
      <c r="H51">
        <v>0</v>
      </c>
      <c r="I51">
        <v>2.5878714860586598</v>
      </c>
      <c r="J51">
        <v>2.0944941118348002</v>
      </c>
      <c r="K51">
        <v>0.49337737422386302</v>
      </c>
      <c r="L51">
        <v>1</v>
      </c>
      <c r="M51">
        <v>0</v>
      </c>
      <c r="N51">
        <v>2.5878714860586598</v>
      </c>
      <c r="O51">
        <v>2.0944941118348002</v>
      </c>
      <c r="P51">
        <v>0.49337737422386302</v>
      </c>
      <c r="Q51">
        <v>1</v>
      </c>
      <c r="R51">
        <v>0</v>
      </c>
      <c r="S51">
        <v>2.5878714860586598</v>
      </c>
      <c r="T51">
        <v>2.0944941118348002</v>
      </c>
      <c r="U51">
        <v>0.49337737422386302</v>
      </c>
      <c r="V51">
        <v>1</v>
      </c>
      <c r="W51">
        <v>2.6678282047730399</v>
      </c>
      <c r="X51">
        <v>0</v>
      </c>
      <c r="Y51">
        <v>2.6678282047730399</v>
      </c>
      <c r="Z51">
        <v>0</v>
      </c>
      <c r="AA51">
        <v>1</v>
      </c>
      <c r="AB51">
        <v>0</v>
      </c>
      <c r="AC51">
        <v>1.34846987885614</v>
      </c>
      <c r="AD51">
        <v>1.0913842655889701</v>
      </c>
      <c r="AE51">
        <v>0.25708561326717</v>
      </c>
      <c r="AF51">
        <v>1</v>
      </c>
      <c r="AG51">
        <v>0</v>
      </c>
      <c r="AH51">
        <v>1.34846987885614</v>
      </c>
      <c r="AI51">
        <v>1.0913842655889701</v>
      </c>
      <c r="AJ51">
        <v>0.25708561326717</v>
      </c>
      <c r="AK51">
        <v>1</v>
      </c>
      <c r="AL51">
        <v>0</v>
      </c>
      <c r="AM51">
        <v>1.34846987885614</v>
      </c>
      <c r="AN51">
        <v>1.0913842655889701</v>
      </c>
      <c r="AO51">
        <v>0.25708561326717</v>
      </c>
    </row>
    <row r="52" spans="1:41" x14ac:dyDescent="0.2">
      <c r="A52">
        <v>5</v>
      </c>
      <c r="B52">
        <v>1</v>
      </c>
      <c r="C52">
        <v>0</v>
      </c>
      <c r="D52">
        <v>2.3044503983426701</v>
      </c>
      <c r="E52">
        <v>2.1829056134298699</v>
      </c>
      <c r="F52">
        <v>0.121544784912795</v>
      </c>
      <c r="G52">
        <v>1</v>
      </c>
      <c r="H52">
        <v>0</v>
      </c>
      <c r="I52">
        <v>2.3044503983426701</v>
      </c>
      <c r="J52">
        <v>2.1829056134298699</v>
      </c>
      <c r="K52">
        <v>0.121544784912795</v>
      </c>
      <c r="L52">
        <v>1</v>
      </c>
      <c r="M52">
        <v>0</v>
      </c>
      <c r="N52">
        <v>2.3044503983426701</v>
      </c>
      <c r="O52">
        <v>2.1829056134298699</v>
      </c>
      <c r="P52">
        <v>0.121544784912795</v>
      </c>
      <c r="Q52">
        <v>1</v>
      </c>
      <c r="R52">
        <v>0</v>
      </c>
      <c r="S52">
        <v>2.3044503983426701</v>
      </c>
      <c r="T52">
        <v>2.1829056134298699</v>
      </c>
      <c r="U52">
        <v>0.121544784912795</v>
      </c>
      <c r="V52">
        <v>1</v>
      </c>
      <c r="W52">
        <v>0</v>
      </c>
      <c r="X52">
        <v>1.2007868111781099</v>
      </c>
      <c r="Y52">
        <v>1.1374531092265601</v>
      </c>
      <c r="Z52">
        <v>6.3333701951549401E-2</v>
      </c>
      <c r="AA52">
        <v>1</v>
      </c>
      <c r="AB52">
        <v>0</v>
      </c>
      <c r="AC52">
        <v>1.2007868111781099</v>
      </c>
      <c r="AD52">
        <v>1.1374531092265601</v>
      </c>
      <c r="AE52">
        <v>6.3333701951549401E-2</v>
      </c>
      <c r="AF52">
        <v>1</v>
      </c>
      <c r="AG52">
        <v>0</v>
      </c>
      <c r="AH52">
        <v>1.2007868111781099</v>
      </c>
      <c r="AI52">
        <v>1.1374531092265601</v>
      </c>
      <c r="AJ52">
        <v>6.3333701951549401E-2</v>
      </c>
      <c r="AK52">
        <v>1</v>
      </c>
      <c r="AL52">
        <v>0</v>
      </c>
      <c r="AM52">
        <v>1.2007868111781099</v>
      </c>
      <c r="AN52">
        <v>1.1374531092265601</v>
      </c>
      <c r="AO52">
        <v>6.3333701951549401E-2</v>
      </c>
    </row>
    <row r="53" spans="1:41" x14ac:dyDescent="0.2">
      <c r="A53">
        <v>6</v>
      </c>
      <c r="B53">
        <v>1</v>
      </c>
      <c r="C53">
        <v>0</v>
      </c>
      <c r="D53">
        <v>1.59622371266928</v>
      </c>
      <c r="E53">
        <v>1.08048419178098</v>
      </c>
      <c r="F53">
        <v>0.51573952088830699</v>
      </c>
      <c r="G53">
        <v>1</v>
      </c>
      <c r="H53">
        <v>0</v>
      </c>
      <c r="I53">
        <v>1.08048419178098</v>
      </c>
      <c r="J53">
        <v>1.08048419178098</v>
      </c>
      <c r="K53">
        <v>0</v>
      </c>
      <c r="L53">
        <v>1</v>
      </c>
      <c r="M53">
        <v>0</v>
      </c>
      <c r="N53">
        <v>1.59622371266928</v>
      </c>
      <c r="O53">
        <v>1.08048419178098</v>
      </c>
      <c r="P53">
        <v>0.51573952088830699</v>
      </c>
      <c r="Q53">
        <v>1</v>
      </c>
      <c r="R53">
        <v>0</v>
      </c>
      <c r="S53">
        <v>1.59622371266928</v>
      </c>
      <c r="T53">
        <v>1.08048419178098</v>
      </c>
      <c r="U53">
        <v>0.51573952088830699</v>
      </c>
      <c r="V53">
        <v>1</v>
      </c>
      <c r="W53">
        <v>0</v>
      </c>
      <c r="X53">
        <v>0.83174902928763805</v>
      </c>
      <c r="Y53">
        <v>0.56301110586286796</v>
      </c>
      <c r="Z53">
        <v>0.26873792342477099</v>
      </c>
      <c r="AA53">
        <v>1</v>
      </c>
      <c r="AB53">
        <v>0</v>
      </c>
      <c r="AC53">
        <v>0.83174902928763805</v>
      </c>
      <c r="AD53">
        <v>0.56301110586286796</v>
      </c>
      <c r="AE53">
        <v>0.26873792342477099</v>
      </c>
      <c r="AF53">
        <v>1</v>
      </c>
      <c r="AG53">
        <v>0</v>
      </c>
      <c r="AH53">
        <v>0.83174902928763805</v>
      </c>
      <c r="AI53">
        <v>0.56301110586286796</v>
      </c>
      <c r="AJ53">
        <v>0.26873792342477099</v>
      </c>
      <c r="AK53">
        <v>1</v>
      </c>
      <c r="AL53">
        <v>0</v>
      </c>
      <c r="AM53">
        <v>0.83174902928763805</v>
      </c>
      <c r="AN53">
        <v>0.56301110586286796</v>
      </c>
      <c r="AO53">
        <v>0.26873792342477099</v>
      </c>
    </row>
    <row r="54" spans="1:41" x14ac:dyDescent="0.2">
      <c r="A54">
        <v>7</v>
      </c>
      <c r="B54">
        <v>1</v>
      </c>
      <c r="C54">
        <v>0</v>
      </c>
      <c r="D54">
        <v>1.6815239590762701</v>
      </c>
      <c r="E54">
        <v>0.91818037946860298</v>
      </c>
      <c r="F54">
        <v>0.76334357960766197</v>
      </c>
      <c r="G54">
        <v>1</v>
      </c>
      <c r="H54">
        <v>0</v>
      </c>
      <c r="I54">
        <v>1.6815239590762701</v>
      </c>
      <c r="J54">
        <v>0.91818037946860298</v>
      </c>
      <c r="K54">
        <v>0.76334357960766197</v>
      </c>
      <c r="L54">
        <v>1</v>
      </c>
      <c r="M54">
        <v>0</v>
      </c>
      <c r="N54">
        <v>1.6815239590762701</v>
      </c>
      <c r="O54">
        <v>0.91818037946860298</v>
      </c>
      <c r="P54">
        <v>0.76334357960766197</v>
      </c>
      <c r="Q54">
        <v>1</v>
      </c>
      <c r="R54">
        <v>0</v>
      </c>
      <c r="S54">
        <v>1.6815239590762701</v>
      </c>
      <c r="T54">
        <v>0.91818037946860298</v>
      </c>
      <c r="U54">
        <v>0.76334357960766197</v>
      </c>
      <c r="V54">
        <v>1</v>
      </c>
      <c r="W54">
        <v>0</v>
      </c>
      <c r="X54">
        <v>0.87619668194677602</v>
      </c>
      <c r="Y54">
        <v>0.47843897648712203</v>
      </c>
      <c r="Z54">
        <v>0.397757705459654</v>
      </c>
      <c r="AA54">
        <v>1</v>
      </c>
      <c r="AB54">
        <v>0</v>
      </c>
      <c r="AC54">
        <v>0.87619668194677602</v>
      </c>
      <c r="AD54">
        <v>0.47843897648712203</v>
      </c>
      <c r="AE54">
        <v>0.397757705459654</v>
      </c>
      <c r="AF54">
        <v>1</v>
      </c>
      <c r="AG54">
        <v>0</v>
      </c>
      <c r="AH54">
        <v>0.87619668194677602</v>
      </c>
      <c r="AI54">
        <v>0.47843897648712203</v>
      </c>
      <c r="AJ54">
        <v>0.397757705459654</v>
      </c>
      <c r="AK54">
        <v>1</v>
      </c>
      <c r="AL54">
        <v>0</v>
      </c>
      <c r="AM54">
        <v>0.87619668194677602</v>
      </c>
      <c r="AN54">
        <v>0.47843897648712203</v>
      </c>
      <c r="AO54">
        <v>0.397757705459654</v>
      </c>
    </row>
    <row r="55" spans="1:41" x14ac:dyDescent="0.2">
      <c r="A55">
        <v>8</v>
      </c>
      <c r="B55">
        <v>1</v>
      </c>
      <c r="C55">
        <v>0</v>
      </c>
      <c r="D55">
        <v>1.7941643604486499</v>
      </c>
      <c r="E55">
        <v>0.93218102781503798</v>
      </c>
      <c r="F55">
        <v>0.86198333263360805</v>
      </c>
      <c r="G55">
        <v>1</v>
      </c>
      <c r="H55">
        <v>0</v>
      </c>
      <c r="I55">
        <v>1.7941643604486499</v>
      </c>
      <c r="J55">
        <v>0.93218102781503798</v>
      </c>
      <c r="K55">
        <v>0.86198333263360805</v>
      </c>
      <c r="L55">
        <v>1</v>
      </c>
      <c r="M55">
        <v>2.2786647346589799</v>
      </c>
      <c r="N55">
        <v>0.86198333263360805</v>
      </c>
      <c r="O55">
        <v>2.2786647346589799</v>
      </c>
      <c r="P55">
        <v>0.86198333263360805</v>
      </c>
      <c r="Q55">
        <v>1</v>
      </c>
      <c r="R55">
        <v>0</v>
      </c>
      <c r="S55">
        <v>1.7941643604486499</v>
      </c>
      <c r="T55">
        <v>0.93218102781503798</v>
      </c>
      <c r="U55">
        <v>0.86198333263360805</v>
      </c>
      <c r="V55">
        <v>1</v>
      </c>
      <c r="W55">
        <v>0</v>
      </c>
      <c r="X55">
        <v>0.93489055032903301</v>
      </c>
      <c r="Y55">
        <v>0.48573433589014198</v>
      </c>
      <c r="Z55">
        <v>0.44915621443889098</v>
      </c>
      <c r="AA55">
        <v>1</v>
      </c>
      <c r="AB55">
        <v>0</v>
      </c>
      <c r="AC55">
        <v>0.93489055032903301</v>
      </c>
      <c r="AD55">
        <v>0.48573433589014198</v>
      </c>
      <c r="AE55">
        <v>0.44915621443889098</v>
      </c>
      <c r="AF55">
        <v>1</v>
      </c>
      <c r="AG55">
        <v>0</v>
      </c>
      <c r="AH55">
        <v>0.93489055032903301</v>
      </c>
      <c r="AI55">
        <v>0.48573433589014198</v>
      </c>
      <c r="AJ55">
        <v>0.44915621443889098</v>
      </c>
      <c r="AK55">
        <v>1</v>
      </c>
      <c r="AL55">
        <v>0</v>
      </c>
      <c r="AM55">
        <v>0.93489055032903301</v>
      </c>
      <c r="AN55">
        <v>0.48573433589014198</v>
      </c>
      <c r="AO55">
        <v>0.44915621443889098</v>
      </c>
    </row>
    <row r="56" spans="1:41" x14ac:dyDescent="0.2">
      <c r="A56">
        <v>9</v>
      </c>
      <c r="B56">
        <v>1</v>
      </c>
      <c r="C56">
        <v>0</v>
      </c>
      <c r="D56">
        <v>2.05582092176757</v>
      </c>
      <c r="E56">
        <v>1.0148885615652701</v>
      </c>
      <c r="F56">
        <v>1.0409323602023</v>
      </c>
      <c r="G56">
        <v>1</v>
      </c>
      <c r="H56">
        <v>0</v>
      </c>
      <c r="I56">
        <v>2.05582092176757</v>
      </c>
      <c r="J56">
        <v>1.0148885615652701</v>
      </c>
      <c r="K56">
        <v>1.0409323602023</v>
      </c>
      <c r="L56">
        <v>1</v>
      </c>
      <c r="M56">
        <v>0</v>
      </c>
      <c r="N56">
        <v>2.05582092176757</v>
      </c>
      <c r="O56">
        <v>1.0148885615652701</v>
      </c>
      <c r="P56">
        <v>1.0409323602023</v>
      </c>
      <c r="Q56">
        <v>1</v>
      </c>
      <c r="R56">
        <v>0</v>
      </c>
      <c r="S56">
        <v>2.05582092176757</v>
      </c>
      <c r="T56">
        <v>1.0148885615652701</v>
      </c>
      <c r="U56">
        <v>1.0409323602023</v>
      </c>
      <c r="V56">
        <v>1</v>
      </c>
      <c r="W56">
        <v>0</v>
      </c>
      <c r="X56">
        <v>1.0712327116165801</v>
      </c>
      <c r="Y56">
        <v>0.52883099606723905</v>
      </c>
      <c r="Z56">
        <v>0.54240171554933703</v>
      </c>
      <c r="AA56">
        <v>1</v>
      </c>
      <c r="AB56">
        <v>0</v>
      </c>
      <c r="AC56">
        <v>1.0712327116165801</v>
      </c>
      <c r="AD56">
        <v>0.52883099606723905</v>
      </c>
      <c r="AE56">
        <v>0.54240171554933703</v>
      </c>
      <c r="AF56">
        <v>1</v>
      </c>
      <c r="AG56">
        <v>0</v>
      </c>
      <c r="AH56">
        <v>1.0712327116165801</v>
      </c>
      <c r="AI56">
        <v>0.52883099606723905</v>
      </c>
      <c r="AJ56">
        <v>0.54240171554933703</v>
      </c>
      <c r="AK56">
        <v>1</v>
      </c>
      <c r="AL56">
        <v>0</v>
      </c>
      <c r="AM56">
        <v>1.0712327116165801</v>
      </c>
      <c r="AN56">
        <v>0.52883099606723905</v>
      </c>
      <c r="AO56">
        <v>0.54240171554933703</v>
      </c>
    </row>
    <row r="57" spans="1:41" x14ac:dyDescent="0.2">
      <c r="A57">
        <v>10</v>
      </c>
      <c r="B57">
        <v>1</v>
      </c>
      <c r="C57">
        <v>2.843927948083</v>
      </c>
      <c r="D57">
        <v>0</v>
      </c>
      <c r="E57">
        <v>2.843927948083</v>
      </c>
      <c r="F57">
        <v>0</v>
      </c>
      <c r="G57">
        <v>1</v>
      </c>
      <c r="H57">
        <v>0</v>
      </c>
      <c r="I57">
        <v>2.4090132034329499</v>
      </c>
      <c r="J57">
        <v>1.1634250696703199</v>
      </c>
      <c r="K57">
        <v>1.24558813376264</v>
      </c>
      <c r="L57">
        <v>1</v>
      </c>
      <c r="M57">
        <v>0</v>
      </c>
      <c r="N57">
        <v>2.4090132034329499</v>
      </c>
      <c r="O57">
        <v>1.1634250696703199</v>
      </c>
      <c r="P57">
        <v>1.24558813376264</v>
      </c>
      <c r="Q57">
        <v>1</v>
      </c>
      <c r="R57">
        <v>0</v>
      </c>
      <c r="S57">
        <v>2.4090132034329499</v>
      </c>
      <c r="T57">
        <v>1.1634250696703199</v>
      </c>
      <c r="U57">
        <v>1.24558813376264</v>
      </c>
      <c r="V57">
        <v>1</v>
      </c>
      <c r="W57">
        <v>0</v>
      </c>
      <c r="X57">
        <v>1.2552716624825699</v>
      </c>
      <c r="Y57">
        <v>0.60622935536334899</v>
      </c>
      <c r="Z57">
        <v>0.64904230711921695</v>
      </c>
      <c r="AA57">
        <v>1</v>
      </c>
      <c r="AB57">
        <v>0</v>
      </c>
      <c r="AC57">
        <v>1.2552716624825699</v>
      </c>
      <c r="AD57">
        <v>0.60622935536334899</v>
      </c>
      <c r="AE57">
        <v>0.64904230711921695</v>
      </c>
      <c r="AF57">
        <v>1</v>
      </c>
      <c r="AG57">
        <v>0</v>
      </c>
      <c r="AH57">
        <v>1.2552716624825699</v>
      </c>
      <c r="AI57">
        <v>0.60622935536334899</v>
      </c>
      <c r="AJ57">
        <v>0.64904230711921695</v>
      </c>
      <c r="AK57">
        <v>1</v>
      </c>
      <c r="AL57">
        <v>0</v>
      </c>
      <c r="AM57">
        <v>1.2552716624825699</v>
      </c>
      <c r="AN57">
        <v>0.60622935536334899</v>
      </c>
      <c r="AO57">
        <v>0.64904230711921695</v>
      </c>
    </row>
    <row r="58" spans="1:41" x14ac:dyDescent="0.2">
      <c r="A58">
        <v>11</v>
      </c>
      <c r="B58">
        <v>1</v>
      </c>
      <c r="C58">
        <v>0</v>
      </c>
      <c r="D58">
        <v>3.1623258658508502</v>
      </c>
      <c r="E58">
        <v>1.8728171796829101</v>
      </c>
      <c r="F58">
        <v>1.2895086861679299</v>
      </c>
      <c r="G58">
        <v>1</v>
      </c>
      <c r="H58">
        <v>0</v>
      </c>
      <c r="I58">
        <v>3.1623258658508502</v>
      </c>
      <c r="J58">
        <v>1.8728171796829101</v>
      </c>
      <c r="K58">
        <v>1.2895086861679299</v>
      </c>
      <c r="L58">
        <v>1</v>
      </c>
      <c r="M58">
        <v>0</v>
      </c>
      <c r="N58">
        <v>3.1623258658508502</v>
      </c>
      <c r="O58">
        <v>1.8728171796829101</v>
      </c>
      <c r="P58">
        <v>1.2895086861679299</v>
      </c>
      <c r="Q58">
        <v>1</v>
      </c>
      <c r="R58">
        <v>0</v>
      </c>
      <c r="S58">
        <v>3.1623258658508502</v>
      </c>
      <c r="T58">
        <v>1.8728171796829101</v>
      </c>
      <c r="U58">
        <v>1.2895086861679299</v>
      </c>
      <c r="V58">
        <v>1</v>
      </c>
      <c r="W58">
        <v>0</v>
      </c>
      <c r="X58">
        <v>1.6478025281394799</v>
      </c>
      <c r="Y58">
        <v>0.97587440837449402</v>
      </c>
      <c r="Z58">
        <v>0.67192811976498601</v>
      </c>
      <c r="AA58">
        <v>1</v>
      </c>
      <c r="AB58">
        <v>0</v>
      </c>
      <c r="AC58">
        <v>1.6478025281394799</v>
      </c>
      <c r="AD58">
        <v>0.97587440837449402</v>
      </c>
      <c r="AE58">
        <v>0.67192811976498601</v>
      </c>
      <c r="AF58">
        <v>1</v>
      </c>
      <c r="AG58">
        <v>0</v>
      </c>
      <c r="AH58">
        <v>1.6478025281394799</v>
      </c>
      <c r="AI58">
        <v>0.97587440837449402</v>
      </c>
      <c r="AJ58">
        <v>0.67192811976498601</v>
      </c>
      <c r="AK58">
        <v>1</v>
      </c>
      <c r="AL58">
        <v>0</v>
      </c>
      <c r="AM58">
        <v>1.6478025281394799</v>
      </c>
      <c r="AN58">
        <v>0.97587440837449402</v>
      </c>
      <c r="AO58">
        <v>0.67192811976498601</v>
      </c>
    </row>
    <row r="59" spans="1:41" x14ac:dyDescent="0.2">
      <c r="A59">
        <v>12</v>
      </c>
      <c r="B59">
        <v>1</v>
      </c>
      <c r="C59">
        <v>4.1983668015514102</v>
      </c>
      <c r="D59">
        <v>0</v>
      </c>
      <c r="E59">
        <v>4.1983668015514102</v>
      </c>
      <c r="F59">
        <v>0</v>
      </c>
      <c r="G59">
        <v>1</v>
      </c>
      <c r="H59">
        <v>0</v>
      </c>
      <c r="I59">
        <v>2.8827666236370799</v>
      </c>
      <c r="J59">
        <v>1.7175136915437601</v>
      </c>
      <c r="K59">
        <v>1.16525293209333</v>
      </c>
      <c r="L59">
        <v>1</v>
      </c>
      <c r="M59">
        <v>0</v>
      </c>
      <c r="N59">
        <v>2.8827666236370799</v>
      </c>
      <c r="O59">
        <v>1.7175136915437601</v>
      </c>
      <c r="P59">
        <v>1.16525293209333</v>
      </c>
      <c r="Q59">
        <v>1</v>
      </c>
      <c r="R59">
        <v>0</v>
      </c>
      <c r="S59">
        <v>2.8827666236370799</v>
      </c>
      <c r="T59">
        <v>1.7175136915437601</v>
      </c>
      <c r="U59">
        <v>1.16525293209333</v>
      </c>
      <c r="V59">
        <v>1</v>
      </c>
      <c r="W59">
        <v>2.1876554546006299</v>
      </c>
      <c r="X59">
        <v>0</v>
      </c>
      <c r="Y59">
        <v>2.1876554546006299</v>
      </c>
      <c r="Z59">
        <v>0</v>
      </c>
      <c r="AA59">
        <v>1</v>
      </c>
      <c r="AB59">
        <v>0</v>
      </c>
      <c r="AC59">
        <v>1.5021317637634499</v>
      </c>
      <c r="AD59">
        <v>0.89494995870025795</v>
      </c>
      <c r="AE59">
        <v>0.60718180506318697</v>
      </c>
      <c r="AF59">
        <v>1</v>
      </c>
      <c r="AG59">
        <v>0</v>
      </c>
      <c r="AH59">
        <v>1.5021317637634499</v>
      </c>
      <c r="AI59">
        <v>0.89494995870025795</v>
      </c>
      <c r="AJ59">
        <v>0.60718180506318697</v>
      </c>
      <c r="AK59">
        <v>1</v>
      </c>
      <c r="AL59">
        <v>0</v>
      </c>
      <c r="AM59">
        <v>1.5021317637634499</v>
      </c>
      <c r="AN59">
        <v>0.89494995870025795</v>
      </c>
      <c r="AO59">
        <v>0.60718180506318697</v>
      </c>
    </row>
    <row r="60" spans="1:41" x14ac:dyDescent="0.2">
      <c r="A60">
        <v>13</v>
      </c>
      <c r="B60">
        <v>1</v>
      </c>
      <c r="C60">
        <v>0</v>
      </c>
      <c r="D60">
        <v>3.1614961978006901</v>
      </c>
      <c r="E60">
        <v>1.5972118242706901</v>
      </c>
      <c r="F60">
        <v>1.56428437353</v>
      </c>
      <c r="G60">
        <v>1</v>
      </c>
      <c r="H60">
        <v>0</v>
      </c>
      <c r="I60">
        <v>3.1614961978006901</v>
      </c>
      <c r="J60">
        <v>1.5972118242706901</v>
      </c>
      <c r="K60">
        <v>1.56428437353</v>
      </c>
      <c r="L60">
        <v>1</v>
      </c>
      <c r="M60">
        <v>0</v>
      </c>
      <c r="N60">
        <v>3.1614961978006901</v>
      </c>
      <c r="O60">
        <v>1.5972118242706901</v>
      </c>
      <c r="P60">
        <v>1.56428437353</v>
      </c>
      <c r="Q60">
        <v>1</v>
      </c>
      <c r="R60">
        <v>0</v>
      </c>
      <c r="S60">
        <v>3.1614961978006901</v>
      </c>
      <c r="T60">
        <v>1.5972118242706901</v>
      </c>
      <c r="U60">
        <v>1.56428437353</v>
      </c>
      <c r="V60">
        <v>1</v>
      </c>
      <c r="W60">
        <v>0</v>
      </c>
      <c r="X60">
        <v>1.6473702105452299</v>
      </c>
      <c r="Y60">
        <v>0.83226390753357204</v>
      </c>
      <c r="Z60">
        <v>0.81510630301165499</v>
      </c>
      <c r="AA60">
        <v>1</v>
      </c>
      <c r="AB60">
        <v>0</v>
      </c>
      <c r="AC60">
        <v>1.6473702105452299</v>
      </c>
      <c r="AD60">
        <v>0.83226390753357204</v>
      </c>
      <c r="AE60">
        <v>0.81510630301165499</v>
      </c>
      <c r="AF60">
        <v>1</v>
      </c>
      <c r="AG60">
        <v>0</v>
      </c>
      <c r="AH60">
        <v>1.6473702105452299</v>
      </c>
      <c r="AI60">
        <v>0.83226390753357204</v>
      </c>
      <c r="AJ60">
        <v>0.81510630301165499</v>
      </c>
      <c r="AK60">
        <v>1</v>
      </c>
      <c r="AL60">
        <v>0</v>
      </c>
      <c r="AM60">
        <v>1.6473702105452299</v>
      </c>
      <c r="AN60">
        <v>0.83226390753357204</v>
      </c>
      <c r="AO60">
        <v>0.81510630301165499</v>
      </c>
    </row>
    <row r="61" spans="1:41" x14ac:dyDescent="0.2">
      <c r="A61">
        <v>14</v>
      </c>
      <c r="B61">
        <v>1</v>
      </c>
      <c r="C61">
        <v>0</v>
      </c>
      <c r="D61">
        <v>3.6043315195730998</v>
      </c>
      <c r="E61">
        <v>1.54483902860439</v>
      </c>
      <c r="F61">
        <v>2.0594924909687098</v>
      </c>
      <c r="G61">
        <v>1</v>
      </c>
      <c r="H61">
        <v>0</v>
      </c>
      <c r="I61">
        <v>3.6043315195730998</v>
      </c>
      <c r="J61">
        <v>1.54483902860439</v>
      </c>
      <c r="K61">
        <v>2.0594924909687098</v>
      </c>
      <c r="L61">
        <v>1</v>
      </c>
      <c r="M61">
        <v>0</v>
      </c>
      <c r="N61">
        <v>3.6043315195730998</v>
      </c>
      <c r="O61">
        <v>1.54483902860439</v>
      </c>
      <c r="P61">
        <v>2.0594924909687098</v>
      </c>
      <c r="Q61">
        <v>1</v>
      </c>
      <c r="R61">
        <v>0</v>
      </c>
      <c r="S61">
        <v>3.6043315195730998</v>
      </c>
      <c r="T61">
        <v>1.54483902860439</v>
      </c>
      <c r="U61">
        <v>2.0594924909687098</v>
      </c>
      <c r="V61">
        <v>1</v>
      </c>
      <c r="W61">
        <v>0</v>
      </c>
      <c r="X61">
        <v>1.87811972647777</v>
      </c>
      <c r="Y61">
        <v>0.80497385939635002</v>
      </c>
      <c r="Z61">
        <v>1.07314586708142</v>
      </c>
      <c r="AA61">
        <v>1</v>
      </c>
      <c r="AB61">
        <v>0</v>
      </c>
      <c r="AC61">
        <v>0.80497385939635002</v>
      </c>
      <c r="AD61">
        <v>0.80497385939635002</v>
      </c>
      <c r="AE61">
        <v>0</v>
      </c>
      <c r="AF61">
        <v>1</v>
      </c>
      <c r="AG61">
        <v>0</v>
      </c>
      <c r="AH61">
        <v>1.87811972647777</v>
      </c>
      <c r="AI61">
        <v>0.80497385939635002</v>
      </c>
      <c r="AJ61">
        <v>1.07314586708142</v>
      </c>
      <c r="AK61">
        <v>1</v>
      </c>
      <c r="AL61">
        <v>0</v>
      </c>
      <c r="AM61">
        <v>1.87811972647777</v>
      </c>
      <c r="AN61">
        <v>0.80497385939635002</v>
      </c>
      <c r="AO61">
        <v>1.07314586708142</v>
      </c>
    </row>
    <row r="62" spans="1:41" x14ac:dyDescent="0.2">
      <c r="A62">
        <v>15</v>
      </c>
      <c r="B62">
        <v>1</v>
      </c>
      <c r="C62">
        <v>0</v>
      </c>
      <c r="D62">
        <v>3.7706799636300001</v>
      </c>
      <c r="E62">
        <v>0.72945682518397603</v>
      </c>
      <c r="F62">
        <v>3.0412231384460302</v>
      </c>
      <c r="G62">
        <v>1</v>
      </c>
      <c r="H62">
        <v>0</v>
      </c>
      <c r="I62">
        <v>0.72945682518397603</v>
      </c>
      <c r="J62">
        <v>0.72945682518397603</v>
      </c>
      <c r="K62">
        <v>0</v>
      </c>
      <c r="L62">
        <v>1</v>
      </c>
      <c r="M62">
        <v>0</v>
      </c>
      <c r="N62">
        <v>3.7706799636300001</v>
      </c>
      <c r="O62">
        <v>0.72945682518397603</v>
      </c>
      <c r="P62">
        <v>3.0412231384460302</v>
      </c>
      <c r="Q62">
        <v>1</v>
      </c>
      <c r="R62">
        <v>0</v>
      </c>
      <c r="S62">
        <v>3.7706799636300001</v>
      </c>
      <c r="T62">
        <v>0.72945682518397603</v>
      </c>
      <c r="U62">
        <v>3.0412231384460302</v>
      </c>
      <c r="V62">
        <v>1</v>
      </c>
      <c r="W62">
        <v>0</v>
      </c>
      <c r="X62">
        <v>1.9647994041254999</v>
      </c>
      <c r="Y62">
        <v>0.38010023371938201</v>
      </c>
      <c r="Z62">
        <v>1.58469917040612</v>
      </c>
      <c r="AA62">
        <v>1</v>
      </c>
      <c r="AB62">
        <v>0</v>
      </c>
      <c r="AC62">
        <v>0.38010023371938201</v>
      </c>
      <c r="AD62">
        <v>0.38010023371938201</v>
      </c>
      <c r="AE62">
        <v>0</v>
      </c>
      <c r="AF62">
        <v>1</v>
      </c>
      <c r="AG62">
        <v>0</v>
      </c>
      <c r="AH62">
        <v>1.9647994041254999</v>
      </c>
      <c r="AI62">
        <v>0.38010023371938201</v>
      </c>
      <c r="AJ62">
        <v>1.58469917040612</v>
      </c>
      <c r="AK62">
        <v>1</v>
      </c>
      <c r="AL62">
        <v>0</v>
      </c>
      <c r="AM62">
        <v>1.9647994041254999</v>
      </c>
      <c r="AN62">
        <v>0.38010023371938201</v>
      </c>
      <c r="AO62">
        <v>1.58469917040612</v>
      </c>
    </row>
    <row r="63" spans="1:41" x14ac:dyDescent="0.2">
      <c r="A63">
        <v>16</v>
      </c>
      <c r="B63">
        <v>1</v>
      </c>
      <c r="C63">
        <v>0</v>
      </c>
      <c r="D63">
        <v>4.4624286640134301</v>
      </c>
      <c r="E63">
        <v>4.2308893409944703</v>
      </c>
      <c r="F63">
        <v>0.23153932301896599</v>
      </c>
      <c r="G63">
        <v>1</v>
      </c>
      <c r="H63">
        <v>0</v>
      </c>
      <c r="I63">
        <v>4.2308893409944703</v>
      </c>
      <c r="J63">
        <v>4.2308893409944703</v>
      </c>
      <c r="K63">
        <v>0</v>
      </c>
      <c r="L63">
        <v>1</v>
      </c>
      <c r="M63">
        <v>0</v>
      </c>
      <c r="N63">
        <v>4.4624286640134301</v>
      </c>
      <c r="O63">
        <v>4.2308893409944703</v>
      </c>
      <c r="P63">
        <v>0.23153932301896599</v>
      </c>
      <c r="Q63">
        <v>1</v>
      </c>
      <c r="R63">
        <v>0</v>
      </c>
      <c r="S63">
        <v>4.4624286640134301</v>
      </c>
      <c r="T63">
        <v>4.2308893409944703</v>
      </c>
      <c r="U63">
        <v>0.23153932301896599</v>
      </c>
      <c r="V63">
        <v>1</v>
      </c>
      <c r="W63">
        <v>0</v>
      </c>
      <c r="X63">
        <v>2.3252509532963601</v>
      </c>
      <c r="Y63">
        <v>2.2046020707904801</v>
      </c>
      <c r="Z63">
        <v>0.120648882505884</v>
      </c>
      <c r="AA63">
        <v>1</v>
      </c>
      <c r="AB63">
        <v>0</v>
      </c>
      <c r="AC63">
        <v>2.3252509532963601</v>
      </c>
      <c r="AD63">
        <v>2.2046020707904801</v>
      </c>
      <c r="AE63">
        <v>0.120648882505884</v>
      </c>
      <c r="AF63">
        <v>1</v>
      </c>
      <c r="AG63">
        <v>0</v>
      </c>
      <c r="AH63">
        <v>2.3252509532963601</v>
      </c>
      <c r="AI63">
        <v>2.2046020707904801</v>
      </c>
      <c r="AJ63">
        <v>0.120648882505884</v>
      </c>
      <c r="AK63">
        <v>1</v>
      </c>
      <c r="AL63">
        <v>0</v>
      </c>
      <c r="AM63">
        <v>2.3252509532963601</v>
      </c>
      <c r="AN63">
        <v>2.2046020707904801</v>
      </c>
      <c r="AO63">
        <v>0.120648882505884</v>
      </c>
    </row>
    <row r="66" spans="1:41" x14ac:dyDescent="0.2">
      <c r="B66">
        <v>2049</v>
      </c>
      <c r="C66" t="s">
        <v>15</v>
      </c>
      <c r="H66" t="s">
        <v>16</v>
      </c>
      <c r="M66" t="s">
        <v>17</v>
      </c>
      <c r="R66" t="s">
        <v>18</v>
      </c>
      <c r="W66" t="s">
        <v>63</v>
      </c>
      <c r="AB66" t="s">
        <v>64</v>
      </c>
      <c r="AG66" t="s">
        <v>65</v>
      </c>
      <c r="AL66" t="s">
        <v>66</v>
      </c>
    </row>
    <row r="67" spans="1:41" x14ac:dyDescent="0.2">
      <c r="B67" t="s">
        <v>181</v>
      </c>
      <c r="C67" t="s">
        <v>67</v>
      </c>
      <c r="D67" t="s">
        <v>68</v>
      </c>
      <c r="E67" t="s">
        <v>69</v>
      </c>
      <c r="F67" t="s">
        <v>70</v>
      </c>
      <c r="G67" t="s">
        <v>181</v>
      </c>
      <c r="H67" t="s">
        <v>67</v>
      </c>
      <c r="I67" t="s">
        <v>68</v>
      </c>
      <c r="J67" t="s">
        <v>69</v>
      </c>
      <c r="K67" t="s">
        <v>70</v>
      </c>
      <c r="L67" t="s">
        <v>181</v>
      </c>
      <c r="M67" t="s">
        <v>67</v>
      </c>
      <c r="N67" t="s">
        <v>68</v>
      </c>
      <c r="O67" t="s">
        <v>69</v>
      </c>
      <c r="P67" t="s">
        <v>70</v>
      </c>
      <c r="Q67" t="s">
        <v>181</v>
      </c>
      <c r="R67" t="s">
        <v>67</v>
      </c>
      <c r="S67" t="s">
        <v>68</v>
      </c>
      <c r="T67" t="s">
        <v>69</v>
      </c>
      <c r="U67" t="s">
        <v>70</v>
      </c>
      <c r="V67" t="s">
        <v>181</v>
      </c>
      <c r="W67" t="s">
        <v>67</v>
      </c>
      <c r="X67" t="s">
        <v>68</v>
      </c>
      <c r="Y67" t="s">
        <v>69</v>
      </c>
      <c r="Z67" t="s">
        <v>70</v>
      </c>
      <c r="AA67" t="s">
        <v>181</v>
      </c>
      <c r="AB67" t="s">
        <v>67</v>
      </c>
      <c r="AC67" t="s">
        <v>68</v>
      </c>
      <c r="AD67" t="s">
        <v>69</v>
      </c>
      <c r="AE67" t="s">
        <v>70</v>
      </c>
      <c r="AF67" t="s">
        <v>181</v>
      </c>
      <c r="AG67" t="s">
        <v>67</v>
      </c>
      <c r="AH67" t="s">
        <v>68</v>
      </c>
      <c r="AI67" t="s">
        <v>69</v>
      </c>
      <c r="AJ67" t="s">
        <v>70</v>
      </c>
      <c r="AK67" t="s">
        <v>181</v>
      </c>
      <c r="AL67" t="s">
        <v>67</v>
      </c>
      <c r="AM67" t="s">
        <v>68</v>
      </c>
      <c r="AN67" t="s">
        <v>69</v>
      </c>
      <c r="AO67" t="s">
        <v>70</v>
      </c>
    </row>
    <row r="68" spans="1:41" x14ac:dyDescent="0.2">
      <c r="A68">
        <v>1</v>
      </c>
      <c r="B68">
        <v>1</v>
      </c>
      <c r="C68">
        <v>0</v>
      </c>
      <c r="D68">
        <v>3.04794705064212</v>
      </c>
      <c r="E68">
        <v>3.0012953635321198</v>
      </c>
      <c r="F68">
        <v>4.6651687109996197E-2</v>
      </c>
      <c r="G68">
        <v>1</v>
      </c>
      <c r="H68">
        <v>0</v>
      </c>
      <c r="I68">
        <v>3.04794705064212</v>
      </c>
      <c r="J68">
        <v>3.0012953635321198</v>
      </c>
      <c r="K68">
        <v>4.6651687109996197E-2</v>
      </c>
      <c r="L68">
        <v>1</v>
      </c>
      <c r="M68">
        <v>0</v>
      </c>
      <c r="N68">
        <v>3.04794705064212</v>
      </c>
      <c r="O68">
        <v>3.0012953635321198</v>
      </c>
      <c r="P68">
        <v>4.6651687109996197E-2</v>
      </c>
      <c r="Q68">
        <v>1</v>
      </c>
      <c r="R68">
        <v>0</v>
      </c>
      <c r="S68">
        <v>3.04794705064212</v>
      </c>
      <c r="T68">
        <v>3.0012953635321198</v>
      </c>
      <c r="U68">
        <v>4.6651687109996197E-2</v>
      </c>
      <c r="V68">
        <v>1</v>
      </c>
      <c r="W68">
        <v>0</v>
      </c>
      <c r="X68">
        <v>1.58820281929802</v>
      </c>
      <c r="Y68">
        <v>1.5638938861826901</v>
      </c>
      <c r="Z68">
        <v>2.4308933115322898E-2</v>
      </c>
      <c r="AA68">
        <v>1</v>
      </c>
      <c r="AB68">
        <v>0</v>
      </c>
      <c r="AC68">
        <v>1.58820281929802</v>
      </c>
      <c r="AD68">
        <v>1.5638938861826901</v>
      </c>
      <c r="AE68">
        <v>2.4308933115322898E-2</v>
      </c>
      <c r="AF68">
        <v>1</v>
      </c>
      <c r="AG68">
        <v>0</v>
      </c>
      <c r="AH68">
        <v>1.58820281929802</v>
      </c>
      <c r="AI68">
        <v>1.5638938861826901</v>
      </c>
      <c r="AJ68">
        <v>2.4308933115322898E-2</v>
      </c>
      <c r="AK68">
        <v>1</v>
      </c>
      <c r="AL68">
        <v>0</v>
      </c>
      <c r="AM68">
        <v>1.58820281929802</v>
      </c>
      <c r="AN68">
        <v>1.5638938861826901</v>
      </c>
      <c r="AO68">
        <v>2.4308933115322898E-2</v>
      </c>
    </row>
    <row r="69" spans="1:41" x14ac:dyDescent="0.2">
      <c r="A69">
        <v>2</v>
      </c>
      <c r="B69">
        <v>1</v>
      </c>
      <c r="C69">
        <v>0</v>
      </c>
      <c r="D69">
        <v>3.0636472221350499</v>
      </c>
      <c r="E69">
        <v>2.74370936108429</v>
      </c>
      <c r="F69">
        <v>0.31993786105076</v>
      </c>
      <c r="G69">
        <v>1</v>
      </c>
      <c r="H69">
        <v>0</v>
      </c>
      <c r="I69">
        <v>3.0636472221350499</v>
      </c>
      <c r="J69">
        <v>2.74370936108429</v>
      </c>
      <c r="K69">
        <v>0.31993786105076</v>
      </c>
      <c r="L69">
        <v>1</v>
      </c>
      <c r="M69">
        <v>0</v>
      </c>
      <c r="N69">
        <v>3.0636472221350499</v>
      </c>
      <c r="O69">
        <v>2.74370936108429</v>
      </c>
      <c r="P69">
        <v>0.31993786105076</v>
      </c>
      <c r="Q69">
        <v>1</v>
      </c>
      <c r="R69">
        <v>0</v>
      </c>
      <c r="S69">
        <v>3.0636472221350499</v>
      </c>
      <c r="T69">
        <v>2.74370936108429</v>
      </c>
      <c r="U69">
        <v>0.31993786105076</v>
      </c>
      <c r="V69">
        <v>1</v>
      </c>
      <c r="W69">
        <v>0</v>
      </c>
      <c r="X69">
        <v>1.5963837542730099</v>
      </c>
      <c r="Y69">
        <v>1.42967278309195</v>
      </c>
      <c r="Z69">
        <v>0.16671097118106001</v>
      </c>
      <c r="AA69">
        <v>1</v>
      </c>
      <c r="AB69">
        <v>0</v>
      </c>
      <c r="AC69">
        <v>1.5963837542730099</v>
      </c>
      <c r="AD69">
        <v>1.42967278309195</v>
      </c>
      <c r="AE69">
        <v>0.16671097118106001</v>
      </c>
      <c r="AF69">
        <v>1</v>
      </c>
      <c r="AG69">
        <v>0</v>
      </c>
      <c r="AH69">
        <v>1.5963837542730099</v>
      </c>
      <c r="AI69">
        <v>1.42967278309195</v>
      </c>
      <c r="AJ69">
        <v>0.16671097118106001</v>
      </c>
      <c r="AK69">
        <v>1</v>
      </c>
      <c r="AL69">
        <v>0</v>
      </c>
      <c r="AM69">
        <v>1.5963837542730099</v>
      </c>
      <c r="AN69">
        <v>1.42967278309195</v>
      </c>
      <c r="AO69">
        <v>0.16671097118106001</v>
      </c>
    </row>
    <row r="70" spans="1:41" x14ac:dyDescent="0.2">
      <c r="A70">
        <v>3</v>
      </c>
      <c r="B70">
        <v>1</v>
      </c>
      <c r="C70">
        <v>0</v>
      </c>
      <c r="D70">
        <v>2.2549606991506801</v>
      </c>
      <c r="E70">
        <v>2.1269030200441401</v>
      </c>
      <c r="F70">
        <v>0.128057679106544</v>
      </c>
      <c r="G70">
        <v>1</v>
      </c>
      <c r="H70">
        <v>0</v>
      </c>
      <c r="I70">
        <v>2.2549606991506801</v>
      </c>
      <c r="J70">
        <v>2.1269030200441401</v>
      </c>
      <c r="K70">
        <v>0.128057679106544</v>
      </c>
      <c r="L70">
        <v>1</v>
      </c>
      <c r="M70">
        <v>0</v>
      </c>
      <c r="N70">
        <v>2.2549606991506801</v>
      </c>
      <c r="O70">
        <v>2.1269030200441401</v>
      </c>
      <c r="P70">
        <v>0.128057679106544</v>
      </c>
      <c r="Q70">
        <v>1</v>
      </c>
      <c r="R70">
        <v>0</v>
      </c>
      <c r="S70">
        <v>2.2549606991506801</v>
      </c>
      <c r="T70">
        <v>2.1269030200441401</v>
      </c>
      <c r="U70">
        <v>0.128057679106544</v>
      </c>
      <c r="V70">
        <v>1</v>
      </c>
      <c r="W70">
        <v>0</v>
      </c>
      <c r="X70">
        <v>1.17499906668091</v>
      </c>
      <c r="Y70">
        <v>1.10827167161448</v>
      </c>
      <c r="Z70">
        <v>6.6727395066435602E-2</v>
      </c>
      <c r="AA70">
        <v>1</v>
      </c>
      <c r="AB70">
        <v>0</v>
      </c>
      <c r="AC70">
        <v>1.17499906668091</v>
      </c>
      <c r="AD70">
        <v>1.10827167161448</v>
      </c>
      <c r="AE70">
        <v>6.6727395066435602E-2</v>
      </c>
      <c r="AF70">
        <v>1</v>
      </c>
      <c r="AG70">
        <v>0</v>
      </c>
      <c r="AH70">
        <v>1.17499906668091</v>
      </c>
      <c r="AI70">
        <v>1.10827167161448</v>
      </c>
      <c r="AJ70">
        <v>6.6727395066435602E-2</v>
      </c>
      <c r="AK70">
        <v>1</v>
      </c>
      <c r="AL70">
        <v>0</v>
      </c>
      <c r="AM70">
        <v>1.17499906668091</v>
      </c>
      <c r="AN70">
        <v>1.10827167161448</v>
      </c>
      <c r="AO70">
        <v>6.6727395066435602E-2</v>
      </c>
    </row>
    <row r="71" spans="1:41" x14ac:dyDescent="0.2">
      <c r="A71">
        <v>4</v>
      </c>
      <c r="B71">
        <v>1</v>
      </c>
      <c r="C71">
        <v>0</v>
      </c>
      <c r="D71">
        <v>2.5878714860586598</v>
      </c>
      <c r="E71">
        <v>2.0944941118348002</v>
      </c>
      <c r="F71">
        <v>0.49337737422386302</v>
      </c>
      <c r="G71">
        <v>1</v>
      </c>
      <c r="H71">
        <v>0</v>
      </c>
      <c r="I71">
        <v>2.5878714860586598</v>
      </c>
      <c r="J71">
        <v>2.0944941118348002</v>
      </c>
      <c r="K71">
        <v>0.49337737422386302</v>
      </c>
      <c r="L71">
        <v>1</v>
      </c>
      <c r="M71">
        <v>0</v>
      </c>
      <c r="N71">
        <v>2.5878714860586598</v>
      </c>
      <c r="O71">
        <v>2.0944941118348002</v>
      </c>
      <c r="P71">
        <v>0.49337737422386302</v>
      </c>
      <c r="Q71">
        <v>1</v>
      </c>
      <c r="R71">
        <v>0</v>
      </c>
      <c r="S71">
        <v>2.5878714860586598</v>
      </c>
      <c r="T71">
        <v>2.0944941118348002</v>
      </c>
      <c r="U71">
        <v>0.49337737422386302</v>
      </c>
      <c r="V71">
        <v>1</v>
      </c>
      <c r="W71">
        <v>0</v>
      </c>
      <c r="X71">
        <v>1.34846987885614</v>
      </c>
      <c r="Y71">
        <v>1.0913842655889701</v>
      </c>
      <c r="Z71">
        <v>0.25708561326717</v>
      </c>
      <c r="AA71">
        <v>1</v>
      </c>
      <c r="AB71">
        <v>0</v>
      </c>
      <c r="AC71">
        <v>1.34846987885614</v>
      </c>
      <c r="AD71">
        <v>1.0913842655889701</v>
      </c>
      <c r="AE71">
        <v>0.25708561326717</v>
      </c>
      <c r="AF71">
        <v>1</v>
      </c>
      <c r="AG71">
        <v>0</v>
      </c>
      <c r="AH71">
        <v>1.34846987885614</v>
      </c>
      <c r="AI71">
        <v>1.0913842655889701</v>
      </c>
      <c r="AJ71">
        <v>0.25708561326717</v>
      </c>
      <c r="AK71">
        <v>1</v>
      </c>
      <c r="AL71">
        <v>0</v>
      </c>
      <c r="AM71">
        <v>1.34846987885614</v>
      </c>
      <c r="AN71">
        <v>1.0913842655889701</v>
      </c>
      <c r="AO71">
        <v>0.25708561326717</v>
      </c>
    </row>
    <row r="72" spans="1:41" x14ac:dyDescent="0.2">
      <c r="A72">
        <v>5</v>
      </c>
      <c r="B72">
        <v>1</v>
      </c>
      <c r="C72">
        <v>0</v>
      </c>
      <c r="D72">
        <v>2.3044503983426701</v>
      </c>
      <c r="E72">
        <v>2.1829056134298699</v>
      </c>
      <c r="F72">
        <v>0.121544784912795</v>
      </c>
      <c r="G72">
        <v>1</v>
      </c>
      <c r="H72">
        <v>0</v>
      </c>
      <c r="I72">
        <v>2.3044503983426701</v>
      </c>
      <c r="J72">
        <v>2.1829056134298699</v>
      </c>
      <c r="K72">
        <v>0.121544784912795</v>
      </c>
      <c r="L72">
        <v>1</v>
      </c>
      <c r="M72">
        <v>0</v>
      </c>
      <c r="N72">
        <v>2.3044503983426701</v>
      </c>
      <c r="O72">
        <v>2.1829056134298699</v>
      </c>
      <c r="P72">
        <v>0.121544784912795</v>
      </c>
      <c r="Q72">
        <v>1</v>
      </c>
      <c r="R72">
        <v>0</v>
      </c>
      <c r="S72">
        <v>2.3044503983426701</v>
      </c>
      <c r="T72">
        <v>2.1829056134298699</v>
      </c>
      <c r="U72">
        <v>0.121544784912795</v>
      </c>
      <c r="V72">
        <v>1</v>
      </c>
      <c r="W72">
        <v>0</v>
      </c>
      <c r="X72">
        <v>1.2007868111781099</v>
      </c>
      <c r="Y72">
        <v>1.1374531092265601</v>
      </c>
      <c r="Z72">
        <v>6.3333701951549401E-2</v>
      </c>
      <c r="AA72">
        <v>1</v>
      </c>
      <c r="AB72">
        <v>0</v>
      </c>
      <c r="AC72">
        <v>1.2007868111781099</v>
      </c>
      <c r="AD72">
        <v>1.1374531092265601</v>
      </c>
      <c r="AE72">
        <v>6.3333701951549401E-2</v>
      </c>
      <c r="AF72">
        <v>1</v>
      </c>
      <c r="AG72">
        <v>0</v>
      </c>
      <c r="AH72">
        <v>1.2007868111781099</v>
      </c>
      <c r="AI72">
        <v>1.1374531092265601</v>
      </c>
      <c r="AJ72">
        <v>6.3333701951549401E-2</v>
      </c>
      <c r="AK72">
        <v>1</v>
      </c>
      <c r="AL72">
        <v>0</v>
      </c>
      <c r="AM72">
        <v>1.2007868111781099</v>
      </c>
      <c r="AN72">
        <v>1.1374531092265601</v>
      </c>
      <c r="AO72">
        <v>6.3333701951549401E-2</v>
      </c>
    </row>
    <row r="73" spans="1:41" x14ac:dyDescent="0.2">
      <c r="A73">
        <v>6</v>
      </c>
      <c r="B73">
        <v>1</v>
      </c>
      <c r="C73">
        <v>0</v>
      </c>
      <c r="D73">
        <v>1.59622371266928</v>
      </c>
      <c r="E73">
        <v>1.08048419178098</v>
      </c>
      <c r="F73">
        <v>0.51573952088830699</v>
      </c>
      <c r="G73">
        <v>1</v>
      </c>
      <c r="H73">
        <v>0</v>
      </c>
      <c r="I73">
        <v>1.08048419178098</v>
      </c>
      <c r="J73">
        <v>1.08048419178098</v>
      </c>
      <c r="K73">
        <v>0</v>
      </c>
      <c r="L73">
        <v>1</v>
      </c>
      <c r="M73">
        <v>0</v>
      </c>
      <c r="N73">
        <v>1.59622371266928</v>
      </c>
      <c r="O73">
        <v>1.08048419178098</v>
      </c>
      <c r="P73">
        <v>0.51573952088830699</v>
      </c>
      <c r="Q73">
        <v>1</v>
      </c>
      <c r="R73">
        <v>0</v>
      </c>
      <c r="S73">
        <v>1.59622371266928</v>
      </c>
      <c r="T73">
        <v>1.08048419178098</v>
      </c>
      <c r="U73">
        <v>0.51573952088830699</v>
      </c>
      <c r="V73">
        <v>1</v>
      </c>
      <c r="W73">
        <v>0</v>
      </c>
      <c r="X73">
        <v>0.83174902928763805</v>
      </c>
      <c r="Y73">
        <v>0.56301110586286796</v>
      </c>
      <c r="Z73">
        <v>0.26873792342477099</v>
      </c>
      <c r="AA73">
        <v>1</v>
      </c>
      <c r="AB73">
        <v>0</v>
      </c>
      <c r="AC73">
        <v>0.83174902928763805</v>
      </c>
      <c r="AD73">
        <v>0.56301110586286796</v>
      </c>
      <c r="AE73">
        <v>0.26873792342477099</v>
      </c>
      <c r="AF73">
        <v>1</v>
      </c>
      <c r="AG73">
        <v>0</v>
      </c>
      <c r="AH73">
        <v>0.83174902928763805</v>
      </c>
      <c r="AI73">
        <v>0.56301110586286796</v>
      </c>
      <c r="AJ73">
        <v>0.26873792342477099</v>
      </c>
      <c r="AK73">
        <v>1</v>
      </c>
      <c r="AL73">
        <v>0</v>
      </c>
      <c r="AM73">
        <v>0.83174902928763805</v>
      </c>
      <c r="AN73">
        <v>0.56301110586286796</v>
      </c>
      <c r="AO73">
        <v>0.26873792342477099</v>
      </c>
    </row>
    <row r="74" spans="1:41" x14ac:dyDescent="0.2">
      <c r="A74">
        <v>7</v>
      </c>
      <c r="B74">
        <v>1</v>
      </c>
      <c r="C74">
        <v>0</v>
      </c>
      <c r="D74">
        <v>1.6815239590762701</v>
      </c>
      <c r="E74">
        <v>0.91818037946860298</v>
      </c>
      <c r="F74">
        <v>0.76334357960766197</v>
      </c>
      <c r="G74">
        <v>1</v>
      </c>
      <c r="H74">
        <v>0</v>
      </c>
      <c r="I74">
        <v>1.6815239590762701</v>
      </c>
      <c r="J74">
        <v>0.91818037946860298</v>
      </c>
      <c r="K74">
        <v>0.76334357960766197</v>
      </c>
      <c r="L74">
        <v>1</v>
      </c>
      <c r="M74">
        <v>0</v>
      </c>
      <c r="N74">
        <v>1.6815239590762701</v>
      </c>
      <c r="O74">
        <v>0.91818037946860298</v>
      </c>
      <c r="P74">
        <v>0.76334357960766197</v>
      </c>
      <c r="Q74">
        <v>1</v>
      </c>
      <c r="R74">
        <v>0</v>
      </c>
      <c r="S74">
        <v>1.6815239590762701</v>
      </c>
      <c r="T74">
        <v>0.91818037946860298</v>
      </c>
      <c r="U74">
        <v>0.76334357960766197</v>
      </c>
      <c r="V74">
        <v>1</v>
      </c>
      <c r="W74">
        <v>0</v>
      </c>
      <c r="X74">
        <v>0.87619668194677602</v>
      </c>
      <c r="Y74">
        <v>0.47843897648712203</v>
      </c>
      <c r="Z74">
        <v>0.397757705459654</v>
      </c>
      <c r="AA74">
        <v>1</v>
      </c>
      <c r="AB74">
        <v>0</v>
      </c>
      <c r="AC74">
        <v>0.87619668194677602</v>
      </c>
      <c r="AD74">
        <v>0.47843897648712203</v>
      </c>
      <c r="AE74">
        <v>0.397757705459654</v>
      </c>
      <c r="AF74">
        <v>1</v>
      </c>
      <c r="AG74">
        <v>0</v>
      </c>
      <c r="AH74">
        <v>0.87619668194677602</v>
      </c>
      <c r="AI74">
        <v>0.47843897648712203</v>
      </c>
      <c r="AJ74">
        <v>0.397757705459654</v>
      </c>
      <c r="AK74">
        <v>1</v>
      </c>
      <c r="AL74">
        <v>0</v>
      </c>
      <c r="AM74">
        <v>0.87619668194677602</v>
      </c>
      <c r="AN74">
        <v>0.47843897648712203</v>
      </c>
      <c r="AO74">
        <v>0.397757705459654</v>
      </c>
    </row>
    <row r="75" spans="1:41" x14ac:dyDescent="0.2">
      <c r="A75">
        <v>8</v>
      </c>
      <c r="B75">
        <v>1</v>
      </c>
      <c r="C75">
        <v>0</v>
      </c>
      <c r="D75">
        <v>1.7941643604486499</v>
      </c>
      <c r="E75">
        <v>0.93218102781503798</v>
      </c>
      <c r="F75">
        <v>0.86198333263360805</v>
      </c>
      <c r="G75">
        <v>1</v>
      </c>
      <c r="H75">
        <v>0</v>
      </c>
      <c r="I75">
        <v>1.7941643604486499</v>
      </c>
      <c r="J75">
        <v>0.93218102781503798</v>
      </c>
      <c r="K75">
        <v>0.86198333263360805</v>
      </c>
      <c r="L75">
        <v>1</v>
      </c>
      <c r="M75">
        <v>0</v>
      </c>
      <c r="N75">
        <v>1.7941643604486499</v>
      </c>
      <c r="O75">
        <v>0.93218102781503798</v>
      </c>
      <c r="P75">
        <v>0.86198333263360805</v>
      </c>
      <c r="Q75">
        <v>1</v>
      </c>
      <c r="R75">
        <v>0</v>
      </c>
      <c r="S75">
        <v>1.7941643604486499</v>
      </c>
      <c r="T75">
        <v>0.93218102781503798</v>
      </c>
      <c r="U75">
        <v>0.86198333263360805</v>
      </c>
      <c r="V75">
        <v>1</v>
      </c>
      <c r="W75">
        <v>0</v>
      </c>
      <c r="X75">
        <v>0.93489055032903301</v>
      </c>
      <c r="Y75">
        <v>0.48573433589014198</v>
      </c>
      <c r="Z75">
        <v>0.44915621443889098</v>
      </c>
      <c r="AA75">
        <v>1</v>
      </c>
      <c r="AB75">
        <v>0</v>
      </c>
      <c r="AC75">
        <v>0.93489055032903301</v>
      </c>
      <c r="AD75">
        <v>0.48573433589014198</v>
      </c>
      <c r="AE75">
        <v>0.44915621443889098</v>
      </c>
      <c r="AF75">
        <v>1</v>
      </c>
      <c r="AG75">
        <v>0</v>
      </c>
      <c r="AH75">
        <v>0.93489055032903301</v>
      </c>
      <c r="AI75">
        <v>0.48573433589014198</v>
      </c>
      <c r="AJ75">
        <v>0.44915621443889098</v>
      </c>
      <c r="AK75">
        <v>1</v>
      </c>
      <c r="AL75">
        <v>0</v>
      </c>
      <c r="AM75">
        <v>0.93489055032903301</v>
      </c>
      <c r="AN75">
        <v>0.48573433589014198</v>
      </c>
      <c r="AO75">
        <v>0.44915621443889098</v>
      </c>
    </row>
    <row r="76" spans="1:41" x14ac:dyDescent="0.2">
      <c r="A76">
        <v>9</v>
      </c>
      <c r="B76">
        <v>1</v>
      </c>
      <c r="C76">
        <v>0</v>
      </c>
      <c r="D76">
        <v>2.05582092176757</v>
      </c>
      <c r="E76">
        <v>1.0148885615652701</v>
      </c>
      <c r="F76">
        <v>1.0409323602023</v>
      </c>
      <c r="G76">
        <v>1</v>
      </c>
      <c r="H76">
        <v>0</v>
      </c>
      <c r="I76">
        <v>2.05582092176757</v>
      </c>
      <c r="J76">
        <v>1.0148885615652701</v>
      </c>
      <c r="K76">
        <v>1.0409323602023</v>
      </c>
      <c r="L76">
        <v>1</v>
      </c>
      <c r="M76">
        <v>0</v>
      </c>
      <c r="N76">
        <v>2.05582092176757</v>
      </c>
      <c r="O76">
        <v>1.0148885615652701</v>
      </c>
      <c r="P76">
        <v>1.0409323602023</v>
      </c>
      <c r="Q76">
        <v>1</v>
      </c>
      <c r="R76">
        <v>0</v>
      </c>
      <c r="S76">
        <v>2.05582092176757</v>
      </c>
      <c r="T76">
        <v>1.0148885615652701</v>
      </c>
      <c r="U76">
        <v>1.0409323602023</v>
      </c>
      <c r="V76">
        <v>1</v>
      </c>
      <c r="W76">
        <v>0</v>
      </c>
      <c r="X76">
        <v>1.0712327116165801</v>
      </c>
      <c r="Y76">
        <v>0.52883099606723905</v>
      </c>
      <c r="Z76">
        <v>0.54240171554933703</v>
      </c>
      <c r="AA76">
        <v>1</v>
      </c>
      <c r="AB76">
        <v>0</v>
      </c>
      <c r="AC76">
        <v>1.0712327116165801</v>
      </c>
      <c r="AD76">
        <v>0.52883099606723905</v>
      </c>
      <c r="AE76">
        <v>0.54240171554933703</v>
      </c>
      <c r="AF76">
        <v>1</v>
      </c>
      <c r="AG76">
        <v>0</v>
      </c>
      <c r="AH76">
        <v>1.0712327116165801</v>
      </c>
      <c r="AI76">
        <v>0.52883099606723905</v>
      </c>
      <c r="AJ76">
        <v>0.54240171554933703</v>
      </c>
      <c r="AK76">
        <v>1</v>
      </c>
      <c r="AL76">
        <v>0</v>
      </c>
      <c r="AM76">
        <v>1.0712327116165801</v>
      </c>
      <c r="AN76">
        <v>0.52883099606723905</v>
      </c>
      <c r="AO76">
        <v>0.54240171554933703</v>
      </c>
    </row>
    <row r="77" spans="1:41" x14ac:dyDescent="0.2">
      <c r="A77">
        <v>10</v>
      </c>
      <c r="B77">
        <v>1</v>
      </c>
      <c r="C77">
        <v>2.843927948083</v>
      </c>
      <c r="D77">
        <v>0</v>
      </c>
      <c r="E77">
        <v>2.843927948083</v>
      </c>
      <c r="F77">
        <v>0</v>
      </c>
      <c r="G77">
        <v>1</v>
      </c>
      <c r="H77">
        <v>0</v>
      </c>
      <c r="I77">
        <v>2.4090132034329499</v>
      </c>
      <c r="J77">
        <v>1.1634250696703199</v>
      </c>
      <c r="K77">
        <v>1.24558813376264</v>
      </c>
      <c r="L77">
        <v>1</v>
      </c>
      <c r="M77">
        <v>0</v>
      </c>
      <c r="N77">
        <v>2.4090132034329499</v>
      </c>
      <c r="O77">
        <v>1.1634250696703199</v>
      </c>
      <c r="P77">
        <v>1.24558813376264</v>
      </c>
      <c r="Q77">
        <v>1</v>
      </c>
      <c r="R77">
        <v>0</v>
      </c>
      <c r="S77">
        <v>2.4090132034329499</v>
      </c>
      <c r="T77">
        <v>1.1634250696703199</v>
      </c>
      <c r="U77">
        <v>1.24558813376264</v>
      </c>
      <c r="V77">
        <v>1</v>
      </c>
      <c r="W77">
        <v>0</v>
      </c>
      <c r="X77">
        <v>1.2552716624825699</v>
      </c>
      <c r="Y77">
        <v>0.60622935536334899</v>
      </c>
      <c r="Z77">
        <v>0.64904230711921695</v>
      </c>
      <c r="AA77">
        <v>1</v>
      </c>
      <c r="AB77">
        <v>0</v>
      </c>
      <c r="AC77">
        <v>1.2552716624825699</v>
      </c>
      <c r="AD77">
        <v>0.60622935536334899</v>
      </c>
      <c r="AE77">
        <v>0.64904230711921695</v>
      </c>
      <c r="AF77">
        <v>1</v>
      </c>
      <c r="AG77">
        <v>0</v>
      </c>
      <c r="AH77">
        <v>1.2552716624825699</v>
      </c>
      <c r="AI77">
        <v>0.60622935536334899</v>
      </c>
      <c r="AJ77">
        <v>0.64904230711921695</v>
      </c>
      <c r="AK77">
        <v>1</v>
      </c>
      <c r="AL77">
        <v>0</v>
      </c>
      <c r="AM77">
        <v>1.2552716624825699</v>
      </c>
      <c r="AN77">
        <v>0.60622935536334899</v>
      </c>
      <c r="AO77">
        <v>0.64904230711921695</v>
      </c>
    </row>
    <row r="78" spans="1:41" x14ac:dyDescent="0.2">
      <c r="A78">
        <v>11</v>
      </c>
      <c r="B78">
        <v>1</v>
      </c>
      <c r="C78">
        <v>0</v>
      </c>
      <c r="D78">
        <v>3.1623258658508502</v>
      </c>
      <c r="E78">
        <v>1.8728171796829101</v>
      </c>
      <c r="F78">
        <v>1.2895086861679299</v>
      </c>
      <c r="G78">
        <v>1</v>
      </c>
      <c r="H78">
        <v>0</v>
      </c>
      <c r="I78">
        <v>3.1623258658508502</v>
      </c>
      <c r="J78">
        <v>1.8728171796829101</v>
      </c>
      <c r="K78">
        <v>1.2895086861679299</v>
      </c>
      <c r="L78">
        <v>1</v>
      </c>
      <c r="M78">
        <v>0</v>
      </c>
      <c r="N78">
        <v>3.1623258658508502</v>
      </c>
      <c r="O78">
        <v>1.8728171796829101</v>
      </c>
      <c r="P78">
        <v>1.2895086861679299</v>
      </c>
      <c r="Q78">
        <v>1</v>
      </c>
      <c r="R78">
        <v>0</v>
      </c>
      <c r="S78">
        <v>3.1623258658508502</v>
      </c>
      <c r="T78">
        <v>1.8728171796829101</v>
      </c>
      <c r="U78">
        <v>1.2895086861679299</v>
      </c>
      <c r="V78">
        <v>1</v>
      </c>
      <c r="W78">
        <v>0</v>
      </c>
      <c r="X78">
        <v>1.6478025281394799</v>
      </c>
      <c r="Y78">
        <v>0.97587440837449402</v>
      </c>
      <c r="Z78">
        <v>0.67192811976498601</v>
      </c>
      <c r="AA78">
        <v>1</v>
      </c>
      <c r="AB78">
        <v>0</v>
      </c>
      <c r="AC78">
        <v>1.6478025281394799</v>
      </c>
      <c r="AD78">
        <v>0.97587440837449402</v>
      </c>
      <c r="AE78">
        <v>0.67192811976498601</v>
      </c>
      <c r="AF78">
        <v>1</v>
      </c>
      <c r="AG78">
        <v>0</v>
      </c>
      <c r="AH78">
        <v>1.6478025281394799</v>
      </c>
      <c r="AI78">
        <v>0.97587440837449402</v>
      </c>
      <c r="AJ78">
        <v>0.67192811976498601</v>
      </c>
      <c r="AK78">
        <v>1</v>
      </c>
      <c r="AL78">
        <v>0</v>
      </c>
      <c r="AM78">
        <v>1.6478025281394799</v>
      </c>
      <c r="AN78">
        <v>0.97587440837449402</v>
      </c>
      <c r="AO78">
        <v>0.67192811976498601</v>
      </c>
    </row>
    <row r="79" spans="1:41" x14ac:dyDescent="0.2">
      <c r="A79">
        <v>12</v>
      </c>
      <c r="B79">
        <v>1</v>
      </c>
      <c r="C79">
        <v>0</v>
      </c>
      <c r="D79">
        <v>2.8827666236370799</v>
      </c>
      <c r="E79">
        <v>1.7175136915437601</v>
      </c>
      <c r="F79">
        <v>1.16525293209333</v>
      </c>
      <c r="G79">
        <v>1</v>
      </c>
      <c r="H79">
        <v>0</v>
      </c>
      <c r="I79">
        <v>2.8827666236370799</v>
      </c>
      <c r="J79">
        <v>1.7175136915437601</v>
      </c>
      <c r="K79">
        <v>1.16525293209333</v>
      </c>
      <c r="L79">
        <v>1</v>
      </c>
      <c r="M79">
        <v>0</v>
      </c>
      <c r="N79">
        <v>2.8827666236370799</v>
      </c>
      <c r="O79">
        <v>1.7175136915437601</v>
      </c>
      <c r="P79">
        <v>1.16525293209333</v>
      </c>
      <c r="Q79">
        <v>1</v>
      </c>
      <c r="R79">
        <v>0</v>
      </c>
      <c r="S79">
        <v>2.8827666236370799</v>
      </c>
      <c r="T79">
        <v>1.7175136915437601</v>
      </c>
      <c r="U79">
        <v>1.16525293209333</v>
      </c>
      <c r="V79">
        <v>1</v>
      </c>
      <c r="W79">
        <v>2.1876554546006299</v>
      </c>
      <c r="X79">
        <v>0</v>
      </c>
      <c r="Y79">
        <v>2.1876554546006299</v>
      </c>
      <c r="Z79">
        <v>0</v>
      </c>
      <c r="AA79">
        <v>1</v>
      </c>
      <c r="AB79">
        <v>0</v>
      </c>
      <c r="AC79">
        <v>1.5021317637634499</v>
      </c>
      <c r="AD79">
        <v>0.89494995870025795</v>
      </c>
      <c r="AE79">
        <v>0.60718180506318697</v>
      </c>
      <c r="AF79">
        <v>1</v>
      </c>
      <c r="AG79">
        <v>0</v>
      </c>
      <c r="AH79">
        <v>1.5021317637634499</v>
      </c>
      <c r="AI79">
        <v>0.89494995870025795</v>
      </c>
      <c r="AJ79">
        <v>0.60718180506318697</v>
      </c>
      <c r="AK79">
        <v>1</v>
      </c>
      <c r="AL79">
        <v>0</v>
      </c>
      <c r="AM79">
        <v>1.5021317637634499</v>
      </c>
      <c r="AN79">
        <v>0.89494995870025795</v>
      </c>
      <c r="AO79">
        <v>0.60718180506318697</v>
      </c>
    </row>
    <row r="80" spans="1:41" x14ac:dyDescent="0.2">
      <c r="A80">
        <v>13</v>
      </c>
      <c r="B80">
        <v>1</v>
      </c>
      <c r="C80">
        <v>0</v>
      </c>
      <c r="D80">
        <v>3.1614961978006901</v>
      </c>
      <c r="E80">
        <v>1.5972118242706901</v>
      </c>
      <c r="F80">
        <v>1.56428437353</v>
      </c>
      <c r="G80">
        <v>1</v>
      </c>
      <c r="H80">
        <v>0</v>
      </c>
      <c r="I80">
        <v>3.1614961978006901</v>
      </c>
      <c r="J80">
        <v>1.5972118242706901</v>
      </c>
      <c r="K80">
        <v>1.56428437353</v>
      </c>
      <c r="L80">
        <v>1</v>
      </c>
      <c r="M80">
        <v>0</v>
      </c>
      <c r="N80">
        <v>3.1614961978006901</v>
      </c>
      <c r="O80">
        <v>1.5972118242706901</v>
      </c>
      <c r="P80">
        <v>1.56428437353</v>
      </c>
      <c r="Q80">
        <v>1</v>
      </c>
      <c r="R80">
        <v>0</v>
      </c>
      <c r="S80">
        <v>3.1614961978006901</v>
      </c>
      <c r="T80">
        <v>1.5972118242706901</v>
      </c>
      <c r="U80">
        <v>1.56428437353</v>
      </c>
      <c r="V80">
        <v>1</v>
      </c>
      <c r="W80">
        <v>0</v>
      </c>
      <c r="X80">
        <v>1.6473702105452299</v>
      </c>
      <c r="Y80">
        <v>0.83226390753357204</v>
      </c>
      <c r="Z80">
        <v>0.81510630301165499</v>
      </c>
      <c r="AA80">
        <v>1</v>
      </c>
      <c r="AB80">
        <v>0</v>
      </c>
      <c r="AC80">
        <v>1.6473702105452299</v>
      </c>
      <c r="AD80">
        <v>0.83226390753357204</v>
      </c>
      <c r="AE80">
        <v>0.81510630301165499</v>
      </c>
      <c r="AF80">
        <v>1</v>
      </c>
      <c r="AG80">
        <v>0</v>
      </c>
      <c r="AH80">
        <v>1.6473702105452299</v>
      </c>
      <c r="AI80">
        <v>0.83226390753357204</v>
      </c>
      <c r="AJ80">
        <v>0.81510630301165499</v>
      </c>
      <c r="AK80">
        <v>1</v>
      </c>
      <c r="AL80">
        <v>0</v>
      </c>
      <c r="AM80">
        <v>1.6473702105452299</v>
      </c>
      <c r="AN80">
        <v>0.83226390753357204</v>
      </c>
      <c r="AO80">
        <v>0.81510630301165499</v>
      </c>
    </row>
    <row r="81" spans="1:41" x14ac:dyDescent="0.2">
      <c r="A81">
        <v>14</v>
      </c>
      <c r="B81">
        <v>1</v>
      </c>
      <c r="C81">
        <v>0</v>
      </c>
      <c r="D81">
        <v>3.6043315195730998</v>
      </c>
      <c r="E81">
        <v>1.54483902860439</v>
      </c>
      <c r="F81">
        <v>2.0594924909687098</v>
      </c>
      <c r="G81">
        <v>1</v>
      </c>
      <c r="H81">
        <v>0</v>
      </c>
      <c r="I81">
        <v>3.6043315195730998</v>
      </c>
      <c r="J81">
        <v>1.54483902860439</v>
      </c>
      <c r="K81">
        <v>2.0594924909687098</v>
      </c>
      <c r="L81">
        <v>1</v>
      </c>
      <c r="M81">
        <v>0</v>
      </c>
      <c r="N81">
        <v>3.6043315195730998</v>
      </c>
      <c r="O81">
        <v>1.54483902860439</v>
      </c>
      <c r="P81">
        <v>2.0594924909687098</v>
      </c>
      <c r="Q81">
        <v>1</v>
      </c>
      <c r="R81">
        <v>0</v>
      </c>
      <c r="S81">
        <v>3.6043315195730998</v>
      </c>
      <c r="T81">
        <v>1.54483902860439</v>
      </c>
      <c r="U81">
        <v>2.0594924909687098</v>
      </c>
      <c r="V81">
        <v>1</v>
      </c>
      <c r="W81">
        <v>0</v>
      </c>
      <c r="X81">
        <v>1.87811972647777</v>
      </c>
      <c r="Y81">
        <v>0.80497385939635002</v>
      </c>
      <c r="Z81">
        <v>1.07314586708142</v>
      </c>
      <c r="AA81">
        <v>1</v>
      </c>
      <c r="AB81">
        <v>0</v>
      </c>
      <c r="AC81">
        <v>1.87811972647777</v>
      </c>
      <c r="AD81">
        <v>0.80497385939635002</v>
      </c>
      <c r="AE81">
        <v>1.07314586708142</v>
      </c>
      <c r="AF81">
        <v>1</v>
      </c>
      <c r="AG81">
        <v>0</v>
      </c>
      <c r="AH81">
        <v>1.87811972647777</v>
      </c>
      <c r="AI81">
        <v>0.80497385939635002</v>
      </c>
      <c r="AJ81">
        <v>1.07314586708142</v>
      </c>
      <c r="AK81">
        <v>1</v>
      </c>
      <c r="AL81">
        <v>0</v>
      </c>
      <c r="AM81">
        <v>1.87811972647777</v>
      </c>
      <c r="AN81">
        <v>0.80497385939635002</v>
      </c>
      <c r="AO81">
        <v>1.07314586708142</v>
      </c>
    </row>
    <row r="82" spans="1:41" x14ac:dyDescent="0.2">
      <c r="A82">
        <v>15</v>
      </c>
      <c r="B82">
        <v>1</v>
      </c>
      <c r="C82">
        <v>0</v>
      </c>
      <c r="D82">
        <v>3.7706799636300001</v>
      </c>
      <c r="E82">
        <v>0.72945682518397603</v>
      </c>
      <c r="F82">
        <v>3.0412231384460302</v>
      </c>
      <c r="G82">
        <v>1</v>
      </c>
      <c r="H82">
        <v>0</v>
      </c>
      <c r="I82">
        <v>0.72945682518397603</v>
      </c>
      <c r="J82">
        <v>0.72945682518397603</v>
      </c>
      <c r="K82">
        <v>0</v>
      </c>
      <c r="L82">
        <v>1</v>
      </c>
      <c r="M82">
        <v>0</v>
      </c>
      <c r="N82">
        <v>3.7706799636300001</v>
      </c>
      <c r="O82">
        <v>0.72945682518397603</v>
      </c>
      <c r="P82">
        <v>3.0412231384460302</v>
      </c>
      <c r="Q82">
        <v>1</v>
      </c>
      <c r="R82">
        <v>0</v>
      </c>
      <c r="S82">
        <v>3.7706799636300001</v>
      </c>
      <c r="T82">
        <v>0.72945682518397603</v>
      </c>
      <c r="U82">
        <v>3.0412231384460302</v>
      </c>
      <c r="V82">
        <v>1</v>
      </c>
      <c r="W82">
        <v>0</v>
      </c>
      <c r="X82">
        <v>1.9647994041254999</v>
      </c>
      <c r="Y82">
        <v>0.38010023371938201</v>
      </c>
      <c r="Z82">
        <v>1.58469917040612</v>
      </c>
      <c r="AA82">
        <v>1</v>
      </c>
      <c r="AB82">
        <v>0</v>
      </c>
      <c r="AC82">
        <v>0.38010023371938201</v>
      </c>
      <c r="AD82">
        <v>0.38010023371938201</v>
      </c>
      <c r="AE82">
        <v>0</v>
      </c>
      <c r="AF82">
        <v>1</v>
      </c>
      <c r="AG82">
        <v>0</v>
      </c>
      <c r="AH82">
        <v>1.9647994041254999</v>
      </c>
      <c r="AI82">
        <v>0.38010023371938201</v>
      </c>
      <c r="AJ82">
        <v>1.58469917040612</v>
      </c>
      <c r="AK82">
        <v>1</v>
      </c>
      <c r="AL82">
        <v>0</v>
      </c>
      <c r="AM82">
        <v>1.9647994041254999</v>
      </c>
      <c r="AN82">
        <v>0.38010023371938201</v>
      </c>
      <c r="AO82">
        <v>1.58469917040612</v>
      </c>
    </row>
    <row r="83" spans="1:41" x14ac:dyDescent="0.2">
      <c r="A83">
        <v>16</v>
      </c>
      <c r="B83">
        <v>1</v>
      </c>
      <c r="C83">
        <v>0</v>
      </c>
      <c r="D83">
        <v>4.4624286640134301</v>
      </c>
      <c r="E83">
        <v>4.2308893409944703</v>
      </c>
      <c r="F83">
        <v>0.23153932301896599</v>
      </c>
      <c r="G83">
        <v>1</v>
      </c>
      <c r="H83">
        <v>0</v>
      </c>
      <c r="I83">
        <v>4.4624286640134301</v>
      </c>
      <c r="J83">
        <v>4.2308893409944703</v>
      </c>
      <c r="K83">
        <v>0.23153932301896599</v>
      </c>
      <c r="L83">
        <v>1</v>
      </c>
      <c r="M83">
        <v>0</v>
      </c>
      <c r="N83">
        <v>4.4624286640134301</v>
      </c>
      <c r="O83">
        <v>4.2308893409944703</v>
      </c>
      <c r="P83">
        <v>0.23153932301896599</v>
      </c>
      <c r="Q83">
        <v>1</v>
      </c>
      <c r="R83">
        <v>0</v>
      </c>
      <c r="S83">
        <v>4.4624286640134301</v>
      </c>
      <c r="T83">
        <v>4.2308893409944703</v>
      </c>
      <c r="U83">
        <v>0.23153932301896599</v>
      </c>
      <c r="V83">
        <v>1</v>
      </c>
      <c r="W83">
        <v>0</v>
      </c>
      <c r="X83">
        <v>2.3252509532963601</v>
      </c>
      <c r="Y83">
        <v>2.2046020707904801</v>
      </c>
      <c r="Z83">
        <v>0.120648882505884</v>
      </c>
      <c r="AA83">
        <v>1</v>
      </c>
      <c r="AB83">
        <v>0</v>
      </c>
      <c r="AC83">
        <v>2.3252509532963601</v>
      </c>
      <c r="AD83">
        <v>2.2046020707904801</v>
      </c>
      <c r="AE83">
        <v>0.120648882505884</v>
      </c>
      <c r="AF83">
        <v>1</v>
      </c>
      <c r="AG83">
        <v>0</v>
      </c>
      <c r="AH83">
        <v>2.3252509532963601</v>
      </c>
      <c r="AI83">
        <v>2.2046020707904801</v>
      </c>
      <c r="AJ83">
        <v>0.120648882505884</v>
      </c>
      <c r="AK83">
        <v>1</v>
      </c>
      <c r="AL83">
        <v>0</v>
      </c>
      <c r="AM83">
        <v>2.3252509532963601</v>
      </c>
      <c r="AN83">
        <v>2.2046020707904801</v>
      </c>
      <c r="AO83">
        <v>0.120648882505884</v>
      </c>
    </row>
    <row r="84" spans="1:41" x14ac:dyDescent="0.2">
      <c r="A84" t="s">
        <v>71</v>
      </c>
      <c r="B84">
        <f>SUM(B68:B83)</f>
        <v>16</v>
      </c>
      <c r="C84">
        <f>SUM(C68:C83)</f>
        <v>2.843927948083</v>
      </c>
      <c r="D84">
        <f>SUM(D68:D83)</f>
        <v>41.430638644796105</v>
      </c>
      <c r="E84">
        <f>SUM(E68:E83)</f>
        <v>30.631697468918311</v>
      </c>
      <c r="F84">
        <f>SUM(F68:F83)</f>
        <v>13.642869123960802</v>
      </c>
      <c r="G84" t="s">
        <v>71</v>
      </c>
      <c r="H84">
        <f>SUM(H68:H83)</f>
        <v>0</v>
      </c>
      <c r="I84">
        <f>SUM(I68:I83)</f>
        <v>40.282689188894722</v>
      </c>
      <c r="J84">
        <f>SUM(J68:J83)</f>
        <v>28.951194590505633</v>
      </c>
      <c r="K84">
        <f>SUM(K68:K83)</f>
        <v>11.331494598389105</v>
      </c>
      <c r="L84">
        <f>SUM(L68:L83)</f>
        <v>16</v>
      </c>
      <c r="M84" t="s">
        <v>71</v>
      </c>
      <c r="N84">
        <f>SUM(N68:N83)</f>
        <v>43.839651848229053</v>
      </c>
      <c r="O84">
        <f>SUM(O68:O83)</f>
        <v>28.951194590505633</v>
      </c>
      <c r="P84">
        <f>SUM(P68:P83)</f>
        <v>14.888457257723442</v>
      </c>
      <c r="Q84">
        <f>SUM(Q68:Q83)</f>
        <v>16</v>
      </c>
      <c r="R84">
        <f>SUM(R68:R83)</f>
        <v>0</v>
      </c>
      <c r="S84" t="s">
        <v>71</v>
      </c>
      <c r="T84">
        <f>SUM(T68:T83)</f>
        <v>28.951194590505633</v>
      </c>
      <c r="U84">
        <f>SUM(U68:U83)</f>
        <v>14.888457257723442</v>
      </c>
      <c r="V84">
        <f>SUM(V68:V83)</f>
        <v>16</v>
      </c>
      <c r="W84">
        <f>SUM(W68:W83)</f>
        <v>2.1876554546006299</v>
      </c>
      <c r="X84">
        <f>SUM(X68:X83)</f>
        <v>21.341525788533129</v>
      </c>
      <c r="Y84" t="s">
        <v>71</v>
      </c>
      <c r="Z84">
        <f>SUM(Z68:Z83)</f>
        <v>7.1507908233434723</v>
      </c>
      <c r="AA84">
        <f>SUM(AA68:AA83)</f>
        <v>16</v>
      </c>
      <c r="AB84">
        <f>SUM(AB68:AB83)</f>
        <v>0</v>
      </c>
      <c r="AC84">
        <f>SUM(AC68:AC83)</f>
        <v>21.258958381890462</v>
      </c>
      <c r="AD84">
        <f>SUM(AD68:AD83)</f>
        <v>15.085684923889907</v>
      </c>
      <c r="AE84" t="s">
        <v>71</v>
      </c>
      <c r="AF84">
        <f>SUM(AF68:AF83)</f>
        <v>16</v>
      </c>
      <c r="AG84">
        <f>SUM(AG68:AG83)</f>
        <v>0</v>
      </c>
      <c r="AH84">
        <f>SUM(AH68:AH83)</f>
        <v>22.84365755229658</v>
      </c>
      <c r="AI84">
        <f>SUM(AI68:AI83)</f>
        <v>15.085684923889907</v>
      </c>
      <c r="AJ84">
        <f>SUM(AJ68:AJ83)</f>
        <v>7.7579726284066597</v>
      </c>
      <c r="AK84" t="s">
        <v>71</v>
      </c>
      <c r="AL84">
        <f>SUM(AL68:AL83)</f>
        <v>0</v>
      </c>
      <c r="AM84">
        <f>SUM(AM68:AM83)</f>
        <v>22.84365755229658</v>
      </c>
      <c r="AN84">
        <f>SUM(AN68:AN83)</f>
        <v>15.085684923889907</v>
      </c>
      <c r="AO84">
        <f>SUM(AO68:AO83)</f>
        <v>7.7579726284066597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AB29"/>
  <sheetViews>
    <sheetView topLeftCell="M1" workbookViewId="0">
      <selection activeCell="AB12" sqref="AB11:AB19"/>
    </sheetView>
  </sheetViews>
  <sheetFormatPr baseColWidth="10" defaultRowHeight="16" x14ac:dyDescent="0.2"/>
  <sheetData>
    <row r="1" spans="4:28" x14ac:dyDescent="0.2">
      <c r="Q1" t="s">
        <v>238</v>
      </c>
      <c r="T1">
        <v>3.4119999999999999</v>
      </c>
    </row>
    <row r="4" spans="4:28" x14ac:dyDescent="0.2">
      <c r="E4" t="s">
        <v>12</v>
      </c>
      <c r="F4" s="139">
        <v>0.6</v>
      </c>
    </row>
    <row r="5" spans="4:28" x14ac:dyDescent="0.2">
      <c r="E5" t="s">
        <v>41</v>
      </c>
      <c r="F5" s="139">
        <v>0.4</v>
      </c>
    </row>
    <row r="6" spans="4:28" x14ac:dyDescent="0.2">
      <c r="Y6" t="s">
        <v>253</v>
      </c>
    </row>
    <row r="8" spans="4:28" ht="112" x14ac:dyDescent="0.2">
      <c r="F8" t="s">
        <v>14</v>
      </c>
      <c r="G8" t="s">
        <v>26</v>
      </c>
      <c r="L8" t="s">
        <v>84</v>
      </c>
      <c r="M8" s="17"/>
      <c r="N8" s="19"/>
      <c r="O8" s="64" t="s">
        <v>235</v>
      </c>
      <c r="P8" s="64" t="s">
        <v>225</v>
      </c>
      <c r="Q8" s="64" t="s">
        <v>228</v>
      </c>
      <c r="R8" s="64" t="s">
        <v>248</v>
      </c>
      <c r="S8" s="64" t="s">
        <v>229</v>
      </c>
      <c r="T8" s="64" t="s">
        <v>230</v>
      </c>
      <c r="U8" s="64" t="s">
        <v>231</v>
      </c>
      <c r="V8" s="64" t="s">
        <v>232</v>
      </c>
      <c r="W8" s="64" t="s">
        <v>233</v>
      </c>
      <c r="X8" s="64" t="s">
        <v>236</v>
      </c>
      <c r="Y8" s="64" t="s">
        <v>252</v>
      </c>
      <c r="Z8" s="64" t="s">
        <v>226</v>
      </c>
    </row>
    <row r="9" spans="4:28" x14ac:dyDescent="0.2">
      <c r="D9" s="140">
        <v>2018</v>
      </c>
      <c r="F9" s="139">
        <v>0.85</v>
      </c>
      <c r="G9" s="139">
        <f>1-F9</f>
        <v>0.15000000000000002</v>
      </c>
      <c r="M9" s="17"/>
      <c r="N9" s="19"/>
      <c r="O9" s="64"/>
    </row>
    <row r="10" spans="4:28" x14ac:dyDescent="0.2">
      <c r="L10" s="11"/>
      <c r="M10" s="10"/>
      <c r="N10" s="13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4:28" x14ac:dyDescent="0.2">
      <c r="D11">
        <v>2025</v>
      </c>
      <c r="G11" s="139">
        <v>0.25</v>
      </c>
      <c r="L11" s="18" t="s">
        <v>80</v>
      </c>
      <c r="M11" s="17" t="s">
        <v>227</v>
      </c>
      <c r="N11" s="19"/>
      <c r="O11" s="18"/>
      <c r="P11" s="18">
        <v>1300</v>
      </c>
      <c r="Q11" s="18">
        <v>1200</v>
      </c>
      <c r="R11" s="18"/>
      <c r="S11" s="18">
        <v>45</v>
      </c>
      <c r="T11" s="18">
        <v>0.8</v>
      </c>
      <c r="U11" s="18">
        <v>0.9</v>
      </c>
      <c r="V11" s="18">
        <v>0.85</v>
      </c>
      <c r="W11" s="18">
        <v>0.98</v>
      </c>
      <c r="X11" s="18">
        <v>75</v>
      </c>
      <c r="Y11" s="18">
        <v>120</v>
      </c>
      <c r="Z11" s="18">
        <v>17</v>
      </c>
      <c r="AB11" t="s">
        <v>234</v>
      </c>
    </row>
    <row r="12" spans="4:28" x14ac:dyDescent="0.2">
      <c r="D12">
        <v>2035</v>
      </c>
      <c r="G12" s="139">
        <v>0.75</v>
      </c>
      <c r="M12" s="17"/>
      <c r="N12" s="19"/>
    </row>
    <row r="13" spans="4:28" x14ac:dyDescent="0.2">
      <c r="D13">
        <v>2045</v>
      </c>
      <c r="G13" s="139">
        <v>0.9</v>
      </c>
      <c r="L13" s="11" t="s">
        <v>81</v>
      </c>
      <c r="M13" s="10" t="s">
        <v>244</v>
      </c>
      <c r="N13" s="13"/>
      <c r="O13" s="11"/>
      <c r="P13" s="11">
        <v>600</v>
      </c>
      <c r="Q13" s="11">
        <v>500</v>
      </c>
      <c r="R13" s="11"/>
      <c r="S13" s="11">
        <v>0</v>
      </c>
      <c r="T13" s="11">
        <v>0.99</v>
      </c>
      <c r="U13" s="11"/>
      <c r="V13" s="11"/>
      <c r="W13" s="11"/>
      <c r="X13" s="11">
        <v>68</v>
      </c>
      <c r="Y13" s="11"/>
      <c r="Z13" s="11">
        <v>25</v>
      </c>
    </row>
    <row r="14" spans="4:28" x14ac:dyDescent="0.2">
      <c r="L14" s="18"/>
      <c r="M14" s="17"/>
      <c r="N14" s="19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4:28" x14ac:dyDescent="0.2">
      <c r="M15" s="17"/>
      <c r="N15" s="19"/>
    </row>
    <row r="16" spans="4:28" x14ac:dyDescent="0.2">
      <c r="L16" s="11" t="s">
        <v>83</v>
      </c>
      <c r="M16" s="10" t="s">
        <v>245</v>
      </c>
      <c r="N16" s="13"/>
      <c r="O16" s="11"/>
      <c r="P16" s="11">
        <v>2900</v>
      </c>
      <c r="Q16" s="11">
        <v>500</v>
      </c>
      <c r="R16" s="11">
        <v>500</v>
      </c>
      <c r="S16" s="11">
        <v>50</v>
      </c>
      <c r="T16" s="11"/>
      <c r="U16" s="11"/>
      <c r="V16" s="11"/>
      <c r="W16" s="11"/>
      <c r="X16" s="11">
        <v>36</v>
      </c>
      <c r="Y16" s="11"/>
      <c r="Z16" s="11" t="s">
        <v>241</v>
      </c>
      <c r="AB16" t="s">
        <v>234</v>
      </c>
    </row>
    <row r="17" spans="12:28" x14ac:dyDescent="0.2">
      <c r="L17" s="18"/>
      <c r="M17" s="17"/>
      <c r="N17" s="19" t="s">
        <v>242</v>
      </c>
      <c r="O17" s="18"/>
      <c r="P17" s="18"/>
      <c r="Q17" s="18"/>
      <c r="R17" s="18"/>
      <c r="S17" s="18"/>
      <c r="T17" s="141">
        <f>8.3/T1</f>
        <v>2.4325908558030482</v>
      </c>
      <c r="U17" s="141">
        <f>9/T1</f>
        <v>2.6377491207502932</v>
      </c>
      <c r="V17" s="141">
        <f>10.8/T1</f>
        <v>3.1652989449003521</v>
      </c>
      <c r="W17" s="18">
        <v>3.4</v>
      </c>
      <c r="X17" s="18"/>
      <c r="Y17" s="18"/>
      <c r="Z17" s="18"/>
      <c r="AB17" t="s">
        <v>237</v>
      </c>
    </row>
    <row r="18" spans="12:28" x14ac:dyDescent="0.2">
      <c r="L18" s="18"/>
      <c r="M18" s="17"/>
      <c r="N18" s="19" t="s">
        <v>243</v>
      </c>
      <c r="O18" s="18"/>
      <c r="P18" s="18"/>
      <c r="Q18" s="18"/>
      <c r="R18" s="18"/>
      <c r="S18" s="18"/>
      <c r="T18" s="141">
        <f>13/T1</f>
        <v>3.8100820633059791</v>
      </c>
      <c r="U18" s="141">
        <f>14.5/T1</f>
        <v>4.2497069167643611</v>
      </c>
      <c r="V18" s="141">
        <f>23/T1</f>
        <v>6.7409144196951933</v>
      </c>
      <c r="W18" s="18">
        <v>7</v>
      </c>
      <c r="X18" s="18"/>
      <c r="Y18" s="18"/>
      <c r="Z18" s="18"/>
      <c r="AB18" t="s">
        <v>239</v>
      </c>
    </row>
    <row r="19" spans="12:28" x14ac:dyDescent="0.2">
      <c r="L19" s="44"/>
      <c r="M19" s="43"/>
      <c r="N19" s="45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B19" t="s">
        <v>240</v>
      </c>
    </row>
    <row r="20" spans="12:28" x14ac:dyDescent="0.2">
      <c r="L20" s="11" t="s">
        <v>85</v>
      </c>
      <c r="M20" s="10" t="s">
        <v>246</v>
      </c>
      <c r="N20" s="13"/>
      <c r="O20" s="11"/>
      <c r="P20" s="11">
        <v>1900</v>
      </c>
      <c r="Q20" s="11">
        <v>600</v>
      </c>
      <c r="R20" s="11">
        <v>0</v>
      </c>
      <c r="S20" s="11">
        <v>50</v>
      </c>
      <c r="T20" s="144">
        <f>13/T1</f>
        <v>3.8100820633059791</v>
      </c>
      <c r="U20" s="144">
        <f>14.5/T1</f>
        <v>4.2497069167643611</v>
      </c>
      <c r="V20" s="11"/>
      <c r="W20" s="11"/>
      <c r="X20" s="11">
        <v>36</v>
      </c>
      <c r="Y20" s="11"/>
      <c r="Z20" s="11">
        <v>18</v>
      </c>
    </row>
    <row r="21" spans="12:28" x14ac:dyDescent="0.2">
      <c r="L21" s="18"/>
      <c r="M21" s="17" t="s">
        <v>91</v>
      </c>
      <c r="N21" s="19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2:28" x14ac:dyDescent="0.2">
      <c r="L22" s="44"/>
      <c r="M22" s="43" t="s">
        <v>92</v>
      </c>
      <c r="N22" s="45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2:28" x14ac:dyDescent="0.2">
      <c r="L23" s="11" t="s">
        <v>112</v>
      </c>
      <c r="M23" s="10" t="s">
        <v>247</v>
      </c>
      <c r="N23" s="13"/>
      <c r="O23" s="11"/>
      <c r="P23" s="11">
        <f>P16*1.2</f>
        <v>3480</v>
      </c>
      <c r="Q23" s="11">
        <f>Q16</f>
        <v>500</v>
      </c>
      <c r="R23" s="11">
        <v>500</v>
      </c>
      <c r="S23" s="11"/>
      <c r="T23" s="11"/>
      <c r="U23" s="11"/>
      <c r="V23" s="11"/>
      <c r="W23" s="11"/>
      <c r="X23" s="11"/>
      <c r="Y23" s="11"/>
      <c r="Z23" s="11"/>
    </row>
    <row r="24" spans="12:28" x14ac:dyDescent="0.2">
      <c r="L24" s="18"/>
      <c r="M24" s="17"/>
      <c r="N24" s="19" t="s">
        <v>242</v>
      </c>
      <c r="O24" s="18"/>
      <c r="P24" s="18"/>
      <c r="Q24" s="18"/>
      <c r="R24" s="18"/>
      <c r="S24" s="18"/>
      <c r="T24" s="142">
        <f t="shared" ref="T24:V25" si="0">T17</f>
        <v>2.4325908558030482</v>
      </c>
      <c r="U24" s="142">
        <f t="shared" si="0"/>
        <v>2.6377491207502932</v>
      </c>
      <c r="V24" s="142">
        <f t="shared" si="0"/>
        <v>3.1652989449003521</v>
      </c>
      <c r="W24" s="18"/>
      <c r="X24" s="18"/>
      <c r="Y24" s="18"/>
      <c r="Z24" s="18"/>
    </row>
    <row r="25" spans="12:28" x14ac:dyDescent="0.2">
      <c r="L25" s="44"/>
      <c r="M25" s="43"/>
      <c r="N25" s="45" t="s">
        <v>243</v>
      </c>
      <c r="O25" s="44"/>
      <c r="P25" s="44"/>
      <c r="Q25" s="44"/>
      <c r="R25" s="44"/>
      <c r="S25" s="44"/>
      <c r="T25" s="143">
        <f t="shared" si="0"/>
        <v>3.8100820633059791</v>
      </c>
      <c r="U25" s="143">
        <f t="shared" si="0"/>
        <v>4.2497069167643611</v>
      </c>
      <c r="V25" s="143">
        <f t="shared" si="0"/>
        <v>6.7409144196951933</v>
      </c>
      <c r="W25" s="44"/>
      <c r="X25" s="44"/>
      <c r="Y25" s="44"/>
      <c r="Z25" s="44"/>
    </row>
    <row r="27" spans="12:28" x14ac:dyDescent="0.2">
      <c r="L27" t="s">
        <v>249</v>
      </c>
      <c r="M27" t="s">
        <v>250</v>
      </c>
    </row>
    <row r="28" spans="12:28" x14ac:dyDescent="0.2">
      <c r="M28" t="s">
        <v>251</v>
      </c>
    </row>
    <row r="29" spans="12:28" x14ac:dyDescent="0.2">
      <c r="L29" t="s">
        <v>254</v>
      </c>
      <c r="M29" t="s">
        <v>255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5"/>
  <sheetViews>
    <sheetView workbookViewId="0">
      <selection activeCell="G15" sqref="G15"/>
    </sheetView>
  </sheetViews>
  <sheetFormatPr baseColWidth="10" defaultRowHeight="16" x14ac:dyDescent="0.2"/>
  <sheetData>
    <row r="5" spans="4:7" x14ac:dyDescent="0.2">
      <c r="D5" t="s">
        <v>128</v>
      </c>
    </row>
    <row r="7" spans="4:7" x14ac:dyDescent="0.2">
      <c r="D7" t="s">
        <v>130</v>
      </c>
    </row>
    <row r="8" spans="4:7" x14ac:dyDescent="0.2">
      <c r="D8" t="s">
        <v>131</v>
      </c>
    </row>
    <row r="9" spans="4:7" x14ac:dyDescent="0.2">
      <c r="D9" t="s">
        <v>132</v>
      </c>
    </row>
    <row r="12" spans="4:7" x14ac:dyDescent="0.2">
      <c r="D12" t="s">
        <v>129</v>
      </c>
    </row>
    <row r="13" spans="4:7" x14ac:dyDescent="0.2">
      <c r="D13" t="s">
        <v>127</v>
      </c>
    </row>
    <row r="15" spans="4:7" x14ac:dyDescent="0.2">
      <c r="D15" t="s">
        <v>133</v>
      </c>
      <c r="G15" s="114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35" zoomScale="120" zoomScaleNormal="120" zoomScalePageLayoutView="120" workbookViewId="0">
      <selection activeCell="K38" sqref="K38:L38"/>
    </sheetView>
  </sheetViews>
  <sheetFormatPr baseColWidth="10" defaultRowHeight="16" x14ac:dyDescent="0.2"/>
  <cols>
    <col min="3" max="3" width="14.83203125" customWidth="1"/>
    <col min="8" max="8" width="11" bestFit="1" customWidth="1"/>
    <col min="9" max="9" width="14.1640625" bestFit="1" customWidth="1"/>
    <col min="14" max="14" width="7.1640625" customWidth="1"/>
    <col min="22" max="22" width="12.33203125" bestFit="1" customWidth="1"/>
  </cols>
  <sheetData>
    <row r="1" spans="3:23" x14ac:dyDescent="0.2">
      <c r="D1" t="s">
        <v>353</v>
      </c>
    </row>
    <row r="2" spans="3:23" x14ac:dyDescent="0.2">
      <c r="D2" t="s">
        <v>357</v>
      </c>
      <c r="J2" t="s">
        <v>358</v>
      </c>
    </row>
    <row r="3" spans="3:23" x14ac:dyDescent="0.2">
      <c r="E3" t="s">
        <v>359</v>
      </c>
      <c r="K3" t="s">
        <v>695</v>
      </c>
      <c r="N3" t="s">
        <v>696</v>
      </c>
    </row>
    <row r="4" spans="3:23" x14ac:dyDescent="0.2">
      <c r="D4" s="16" t="s">
        <v>354</v>
      </c>
      <c r="E4" s="2" t="s">
        <v>355</v>
      </c>
      <c r="F4" s="2" t="s">
        <v>356</v>
      </c>
      <c r="K4" s="16" t="s">
        <v>354</v>
      </c>
      <c r="L4" s="2" t="s">
        <v>355</v>
      </c>
      <c r="M4" s="2" t="s">
        <v>356</v>
      </c>
    </row>
    <row r="5" spans="3:23" x14ac:dyDescent="0.2">
      <c r="R5" s="16" t="s">
        <v>23</v>
      </c>
      <c r="S5" s="2" t="s">
        <v>214</v>
      </c>
      <c r="T5" s="2" t="s">
        <v>215</v>
      </c>
    </row>
    <row r="6" spans="3:23" x14ac:dyDescent="0.2">
      <c r="C6">
        <v>1</v>
      </c>
      <c r="D6" s="316">
        <v>0.42</v>
      </c>
      <c r="E6" s="316">
        <v>29</v>
      </c>
      <c r="F6" s="316">
        <v>49</v>
      </c>
      <c r="G6" s="316">
        <f>1/E6</f>
        <v>3.4482758620689655E-2</v>
      </c>
      <c r="H6" s="316">
        <f>1/F6</f>
        <v>2.0408163265306121E-2</v>
      </c>
      <c r="I6" s="316"/>
      <c r="J6" s="157">
        <v>1</v>
      </c>
      <c r="K6" s="316">
        <v>0.56999999999999995</v>
      </c>
      <c r="L6" s="316">
        <v>21</v>
      </c>
      <c r="M6" s="316">
        <v>38</v>
      </c>
      <c r="N6" s="316">
        <f>1/L6</f>
        <v>4.7619047619047616E-2</v>
      </c>
      <c r="O6" s="316">
        <f>1/M6</f>
        <v>2.6315789473684209E-2</v>
      </c>
      <c r="R6" s="317">
        <f>1/(1.1*2)</f>
        <v>0.45454545454545453</v>
      </c>
      <c r="S6" s="316">
        <f>1/19</f>
        <v>5.2631578947368418E-2</v>
      </c>
      <c r="T6" s="318">
        <f>1/22</f>
        <v>4.5454545454545456E-2</v>
      </c>
      <c r="V6" s="316">
        <f t="shared" ref="V6:W21" si="0">(G6/N6)-1</f>
        <v>-0.27586206896551724</v>
      </c>
      <c r="W6" s="316">
        <f t="shared" si="0"/>
        <v>-0.22448979591836737</v>
      </c>
    </row>
    <row r="7" spans="3:23" x14ac:dyDescent="0.2">
      <c r="C7">
        <v>2</v>
      </c>
      <c r="D7" s="316">
        <v>0.38</v>
      </c>
      <c r="E7" s="316">
        <v>29</v>
      </c>
      <c r="F7" s="316">
        <v>49</v>
      </c>
      <c r="G7" s="316">
        <f t="shared" ref="G7:H21" si="1">1/E7</f>
        <v>3.4482758620689655E-2</v>
      </c>
      <c r="H7" s="316">
        <f t="shared" si="1"/>
        <v>2.0408163265306121E-2</v>
      </c>
      <c r="I7" s="316"/>
      <c r="J7" s="157">
        <v>2</v>
      </c>
      <c r="K7" s="316">
        <v>0.56999999999999995</v>
      </c>
      <c r="L7" s="316">
        <v>13</v>
      </c>
      <c r="M7" s="316">
        <v>30</v>
      </c>
      <c r="N7" s="316">
        <f>1/L7</f>
        <v>7.6923076923076927E-2</v>
      </c>
      <c r="O7" s="316">
        <f t="shared" ref="O7:O21" si="2">1/M7</f>
        <v>3.3333333333333333E-2</v>
      </c>
      <c r="R7" s="317">
        <f>R6</f>
        <v>0.45454545454545453</v>
      </c>
      <c r="S7" s="316">
        <f>S6</f>
        <v>5.2631578947368418E-2</v>
      </c>
      <c r="T7" s="318">
        <f>T6</f>
        <v>4.5454545454545456E-2</v>
      </c>
      <c r="V7" s="316">
        <f t="shared" si="0"/>
        <v>-0.55172413793103448</v>
      </c>
      <c r="W7" s="316">
        <f t="shared" si="0"/>
        <v>-0.38775510204081631</v>
      </c>
    </row>
    <row r="8" spans="3:23" x14ac:dyDescent="0.2">
      <c r="C8">
        <v>3</v>
      </c>
      <c r="D8" s="316">
        <v>0.42</v>
      </c>
      <c r="E8" s="316">
        <v>25</v>
      </c>
      <c r="F8" s="316">
        <v>38</v>
      </c>
      <c r="G8" s="316">
        <f t="shared" si="1"/>
        <v>0.04</v>
      </c>
      <c r="H8" s="316">
        <f t="shared" si="1"/>
        <v>2.6315789473684209E-2</v>
      </c>
      <c r="I8" s="316"/>
      <c r="J8" s="157">
        <v>3</v>
      </c>
      <c r="K8" s="316">
        <v>0.67</v>
      </c>
      <c r="L8" s="316">
        <v>13</v>
      </c>
      <c r="M8" s="316">
        <v>30</v>
      </c>
      <c r="N8" s="316">
        <f t="shared" ref="N8:N21" si="3">1/L8</f>
        <v>7.6923076923076927E-2</v>
      </c>
      <c r="O8" s="316">
        <f t="shared" si="2"/>
        <v>3.3333333333333333E-2</v>
      </c>
      <c r="R8" s="317">
        <f t="shared" ref="R8:T21" si="4">R7</f>
        <v>0.45454545454545453</v>
      </c>
      <c r="S8" s="316">
        <f t="shared" si="4"/>
        <v>5.2631578947368418E-2</v>
      </c>
      <c r="T8" s="318">
        <f t="shared" si="4"/>
        <v>4.5454545454545456E-2</v>
      </c>
      <c r="V8" s="316">
        <f t="shared" si="0"/>
        <v>-0.48</v>
      </c>
      <c r="W8" s="316">
        <f t="shared" si="0"/>
        <v>-0.21052631578947367</v>
      </c>
    </row>
    <row r="9" spans="3:23" x14ac:dyDescent="0.2">
      <c r="C9">
        <v>4</v>
      </c>
      <c r="D9" s="316">
        <v>0.38</v>
      </c>
      <c r="E9" s="316">
        <v>25</v>
      </c>
      <c r="F9" s="316">
        <v>38</v>
      </c>
      <c r="G9" s="316">
        <f t="shared" si="1"/>
        <v>0.04</v>
      </c>
      <c r="H9" s="316">
        <f t="shared" si="1"/>
        <v>2.6315789473684209E-2</v>
      </c>
      <c r="I9" s="316"/>
      <c r="J9" s="157">
        <v>4</v>
      </c>
      <c r="K9" s="316">
        <v>0.67</v>
      </c>
      <c r="L9" s="316">
        <v>13</v>
      </c>
      <c r="M9" s="316">
        <v>30</v>
      </c>
      <c r="N9" s="316">
        <f t="shared" si="3"/>
        <v>7.6923076923076927E-2</v>
      </c>
      <c r="O9" s="316">
        <f t="shared" si="2"/>
        <v>3.3333333333333333E-2</v>
      </c>
      <c r="R9" s="317">
        <f t="shared" si="4"/>
        <v>0.45454545454545453</v>
      </c>
      <c r="S9" s="316">
        <f t="shared" si="4"/>
        <v>5.2631578947368418E-2</v>
      </c>
      <c r="T9" s="318">
        <f t="shared" si="4"/>
        <v>4.5454545454545456E-2</v>
      </c>
      <c r="V9" s="316">
        <f t="shared" si="0"/>
        <v>-0.48</v>
      </c>
      <c r="W9" s="316">
        <f t="shared" si="0"/>
        <v>-0.21052631578947367</v>
      </c>
    </row>
    <row r="10" spans="3:23" x14ac:dyDescent="0.2">
      <c r="C10">
        <v>5</v>
      </c>
      <c r="D10" s="316">
        <v>0.42</v>
      </c>
      <c r="E10" s="316">
        <v>25</v>
      </c>
      <c r="F10" s="316">
        <v>38</v>
      </c>
      <c r="G10" s="316">
        <f t="shared" si="1"/>
        <v>0.04</v>
      </c>
      <c r="H10" s="316">
        <f t="shared" si="1"/>
        <v>2.6315789473684209E-2</v>
      </c>
      <c r="I10" s="316"/>
      <c r="J10" s="157">
        <v>5</v>
      </c>
      <c r="K10" s="316">
        <v>0.67</v>
      </c>
      <c r="L10" s="316">
        <v>13</v>
      </c>
      <c r="M10" s="316">
        <v>30</v>
      </c>
      <c r="N10" s="316">
        <f t="shared" si="3"/>
        <v>7.6923076923076927E-2</v>
      </c>
      <c r="O10" s="316">
        <f t="shared" si="2"/>
        <v>3.3333333333333333E-2</v>
      </c>
      <c r="R10" s="317">
        <f t="shared" si="4"/>
        <v>0.45454545454545453</v>
      </c>
      <c r="S10" s="316">
        <f t="shared" si="4"/>
        <v>5.2631578947368418E-2</v>
      </c>
      <c r="T10" s="318">
        <f t="shared" si="4"/>
        <v>4.5454545454545456E-2</v>
      </c>
      <c r="V10" s="316">
        <f t="shared" si="0"/>
        <v>-0.48</v>
      </c>
      <c r="W10" s="316">
        <f t="shared" si="0"/>
        <v>-0.21052631578947367</v>
      </c>
    </row>
    <row r="11" spans="3:23" x14ac:dyDescent="0.2">
      <c r="C11">
        <v>6</v>
      </c>
      <c r="D11" s="316">
        <v>0.42</v>
      </c>
      <c r="E11" s="316">
        <v>21</v>
      </c>
      <c r="F11" s="316">
        <v>38</v>
      </c>
      <c r="G11" s="316">
        <f t="shared" si="1"/>
        <v>4.7619047619047616E-2</v>
      </c>
      <c r="H11" s="316">
        <f t="shared" si="1"/>
        <v>2.6315789473684209E-2</v>
      </c>
      <c r="I11" s="316"/>
      <c r="J11" s="157">
        <v>6</v>
      </c>
      <c r="K11" s="316">
        <v>0.67</v>
      </c>
      <c r="L11" s="316">
        <v>13</v>
      </c>
      <c r="M11" s="316">
        <v>30</v>
      </c>
      <c r="N11" s="316">
        <f t="shared" si="3"/>
        <v>7.6923076923076927E-2</v>
      </c>
      <c r="O11" s="316">
        <f t="shared" si="2"/>
        <v>3.3333333333333333E-2</v>
      </c>
      <c r="R11" s="317">
        <f t="shared" si="4"/>
        <v>0.45454545454545453</v>
      </c>
      <c r="S11" s="316">
        <f t="shared" si="4"/>
        <v>5.2631578947368418E-2</v>
      </c>
      <c r="T11" s="318">
        <f t="shared" si="4"/>
        <v>4.5454545454545456E-2</v>
      </c>
      <c r="V11" s="316">
        <f t="shared" si="0"/>
        <v>-0.38095238095238104</v>
      </c>
      <c r="W11" s="316">
        <f t="shared" si="0"/>
        <v>-0.21052631578947367</v>
      </c>
    </row>
    <row r="12" spans="3:23" x14ac:dyDescent="0.2">
      <c r="C12">
        <v>7</v>
      </c>
      <c r="D12" s="316">
        <v>0.38</v>
      </c>
      <c r="E12" s="316">
        <v>21</v>
      </c>
      <c r="F12" s="316">
        <v>38</v>
      </c>
      <c r="G12" s="316">
        <f t="shared" si="1"/>
        <v>4.7619047619047616E-2</v>
      </c>
      <c r="H12" s="316">
        <f t="shared" si="1"/>
        <v>2.6315789473684209E-2</v>
      </c>
      <c r="I12" s="316"/>
      <c r="J12" s="157">
        <v>7</v>
      </c>
      <c r="K12" s="316">
        <v>0.67</v>
      </c>
      <c r="L12" s="316">
        <v>13</v>
      </c>
      <c r="M12" s="316">
        <v>30</v>
      </c>
      <c r="N12" s="316">
        <f t="shared" si="3"/>
        <v>7.6923076923076927E-2</v>
      </c>
      <c r="O12" s="316">
        <f t="shared" si="2"/>
        <v>3.3333333333333333E-2</v>
      </c>
      <c r="R12" s="317">
        <f t="shared" si="4"/>
        <v>0.45454545454545453</v>
      </c>
      <c r="S12" s="316">
        <f t="shared" si="4"/>
        <v>5.2631578947368418E-2</v>
      </c>
      <c r="T12" s="318">
        <f t="shared" si="4"/>
        <v>4.5454545454545456E-2</v>
      </c>
      <c r="V12" s="316">
        <f t="shared" si="0"/>
        <v>-0.38095238095238104</v>
      </c>
      <c r="W12" s="316">
        <f t="shared" si="0"/>
        <v>-0.21052631578947367</v>
      </c>
    </row>
    <row r="13" spans="3:23" x14ac:dyDescent="0.2">
      <c r="C13">
        <v>8</v>
      </c>
      <c r="D13" s="316">
        <v>0.38</v>
      </c>
      <c r="E13" s="316">
        <v>21</v>
      </c>
      <c r="F13" s="316">
        <v>38</v>
      </c>
      <c r="G13" s="316">
        <f t="shared" si="1"/>
        <v>4.7619047619047616E-2</v>
      </c>
      <c r="H13" s="316">
        <f t="shared" si="1"/>
        <v>2.6315789473684209E-2</v>
      </c>
      <c r="I13" s="316"/>
      <c r="J13" s="157">
        <v>8</v>
      </c>
      <c r="K13" s="316">
        <v>0.67</v>
      </c>
      <c r="L13" s="316">
        <v>13</v>
      </c>
      <c r="M13" s="316">
        <v>30</v>
      </c>
      <c r="N13" s="316">
        <f t="shared" si="3"/>
        <v>7.6923076923076927E-2</v>
      </c>
      <c r="O13" s="316">
        <f t="shared" si="2"/>
        <v>3.3333333333333333E-2</v>
      </c>
      <c r="R13" s="317">
        <f t="shared" si="4"/>
        <v>0.45454545454545453</v>
      </c>
      <c r="S13" s="316">
        <f t="shared" si="4"/>
        <v>5.2631578947368418E-2</v>
      </c>
      <c r="T13" s="318">
        <f t="shared" si="4"/>
        <v>4.5454545454545456E-2</v>
      </c>
      <c r="V13" s="316">
        <f t="shared" si="0"/>
        <v>-0.38095238095238104</v>
      </c>
      <c r="W13" s="316">
        <f t="shared" si="0"/>
        <v>-0.21052631578947367</v>
      </c>
    </row>
    <row r="14" spans="3:23" x14ac:dyDescent="0.2">
      <c r="C14">
        <v>9</v>
      </c>
      <c r="D14" s="316">
        <v>0.38</v>
      </c>
      <c r="E14" s="316">
        <v>21</v>
      </c>
      <c r="F14" s="316">
        <v>38</v>
      </c>
      <c r="G14" s="316">
        <f t="shared" si="1"/>
        <v>4.7619047619047616E-2</v>
      </c>
      <c r="H14" s="316">
        <f t="shared" si="1"/>
        <v>2.6315789473684209E-2</v>
      </c>
      <c r="I14" s="316"/>
      <c r="J14" s="157">
        <v>9</v>
      </c>
      <c r="K14" s="316">
        <v>0.67</v>
      </c>
      <c r="L14" s="316">
        <v>13</v>
      </c>
      <c r="M14" s="316">
        <v>30</v>
      </c>
      <c r="N14" s="316">
        <f t="shared" si="3"/>
        <v>7.6923076923076927E-2</v>
      </c>
      <c r="O14" s="316">
        <f t="shared" si="2"/>
        <v>3.3333333333333333E-2</v>
      </c>
      <c r="R14" s="317">
        <f t="shared" si="4"/>
        <v>0.45454545454545453</v>
      </c>
      <c r="S14" s="316">
        <f t="shared" si="4"/>
        <v>5.2631578947368418E-2</v>
      </c>
      <c r="T14" s="318">
        <f t="shared" si="4"/>
        <v>4.5454545454545456E-2</v>
      </c>
      <c r="V14" s="316">
        <f t="shared" si="0"/>
        <v>-0.38095238095238104</v>
      </c>
      <c r="W14" s="316">
        <f t="shared" si="0"/>
        <v>-0.21052631578947367</v>
      </c>
    </row>
    <row r="15" spans="3:23" x14ac:dyDescent="0.2">
      <c r="C15">
        <v>10</v>
      </c>
      <c r="D15" s="316">
        <v>0.38</v>
      </c>
      <c r="E15" s="316">
        <v>25</v>
      </c>
      <c r="F15" s="316">
        <v>49</v>
      </c>
      <c r="G15" s="316">
        <f t="shared" si="1"/>
        <v>0.04</v>
      </c>
      <c r="H15" s="316">
        <f t="shared" si="1"/>
        <v>2.0408163265306121E-2</v>
      </c>
      <c r="I15" s="316"/>
      <c r="J15" s="157">
        <v>10</v>
      </c>
      <c r="K15" s="316">
        <v>0.56999999999999995</v>
      </c>
      <c r="L15" s="316">
        <v>13</v>
      </c>
      <c r="M15" s="316">
        <v>30</v>
      </c>
      <c r="N15" s="316">
        <f t="shared" si="3"/>
        <v>7.6923076923076927E-2</v>
      </c>
      <c r="O15" s="316">
        <f t="shared" si="2"/>
        <v>3.3333333333333333E-2</v>
      </c>
      <c r="R15" s="317">
        <f t="shared" si="4"/>
        <v>0.45454545454545453</v>
      </c>
      <c r="S15" s="316">
        <f t="shared" si="4"/>
        <v>5.2631578947368418E-2</v>
      </c>
      <c r="T15" s="318">
        <f t="shared" si="4"/>
        <v>4.5454545454545456E-2</v>
      </c>
      <c r="V15" s="316">
        <f t="shared" si="0"/>
        <v>-0.48</v>
      </c>
      <c r="W15" s="316">
        <f t="shared" si="0"/>
        <v>-0.38775510204081631</v>
      </c>
    </row>
    <row r="16" spans="3:23" x14ac:dyDescent="0.2">
      <c r="C16">
        <v>11</v>
      </c>
      <c r="D16" s="316">
        <v>0.38</v>
      </c>
      <c r="E16" s="316">
        <v>29</v>
      </c>
      <c r="F16" s="316">
        <v>49</v>
      </c>
      <c r="G16" s="316">
        <f t="shared" si="1"/>
        <v>3.4482758620689655E-2</v>
      </c>
      <c r="H16" s="316">
        <f t="shared" si="1"/>
        <v>2.0408163265306121E-2</v>
      </c>
      <c r="I16" s="316"/>
      <c r="J16" s="157">
        <v>11</v>
      </c>
      <c r="K16" s="316">
        <v>0.56999999999999995</v>
      </c>
      <c r="L16" s="316">
        <v>19</v>
      </c>
      <c r="M16" s="316">
        <v>38</v>
      </c>
      <c r="N16" s="316">
        <f t="shared" si="3"/>
        <v>5.2631578947368418E-2</v>
      </c>
      <c r="O16" s="316">
        <f t="shared" si="2"/>
        <v>2.6315789473684209E-2</v>
      </c>
      <c r="R16" s="317">
        <f t="shared" si="4"/>
        <v>0.45454545454545453</v>
      </c>
      <c r="S16" s="316">
        <f t="shared" si="4"/>
        <v>5.2631578947368418E-2</v>
      </c>
      <c r="T16" s="318">
        <f t="shared" si="4"/>
        <v>4.5454545454545456E-2</v>
      </c>
      <c r="V16" s="316">
        <f t="shared" si="0"/>
        <v>-0.34482758620689657</v>
      </c>
      <c r="W16" s="316">
        <f t="shared" si="0"/>
        <v>-0.22448979591836737</v>
      </c>
    </row>
    <row r="17" spans="1:23" x14ac:dyDescent="0.2">
      <c r="C17">
        <v>12</v>
      </c>
      <c r="D17" s="316">
        <v>0.38</v>
      </c>
      <c r="E17" s="316">
        <v>29</v>
      </c>
      <c r="F17" s="316">
        <v>49</v>
      </c>
      <c r="G17" s="316">
        <f t="shared" si="1"/>
        <v>3.4482758620689655E-2</v>
      </c>
      <c r="H17" s="316">
        <f t="shared" si="1"/>
        <v>2.0408163265306121E-2</v>
      </c>
      <c r="I17" s="316"/>
      <c r="J17" s="157">
        <v>12</v>
      </c>
      <c r="K17" s="316">
        <v>0.56999999999999995</v>
      </c>
      <c r="L17" s="316">
        <v>19</v>
      </c>
      <c r="M17" s="316">
        <v>38</v>
      </c>
      <c r="N17" s="316">
        <f t="shared" si="3"/>
        <v>5.2631578947368418E-2</v>
      </c>
      <c r="O17" s="316">
        <f t="shared" si="2"/>
        <v>2.6315789473684209E-2</v>
      </c>
      <c r="R17" s="317">
        <f t="shared" si="4"/>
        <v>0.45454545454545453</v>
      </c>
      <c r="S17" s="316">
        <f t="shared" si="4"/>
        <v>5.2631578947368418E-2</v>
      </c>
      <c r="T17" s="318">
        <f t="shared" si="4"/>
        <v>4.5454545454545456E-2</v>
      </c>
      <c r="V17" s="316">
        <f t="shared" si="0"/>
        <v>-0.34482758620689657</v>
      </c>
      <c r="W17" s="316">
        <f t="shared" si="0"/>
        <v>-0.22448979591836737</v>
      </c>
    </row>
    <row r="18" spans="1:23" x14ac:dyDescent="0.2">
      <c r="C18">
        <v>13</v>
      </c>
      <c r="D18" s="316">
        <v>0.38</v>
      </c>
      <c r="E18" s="316">
        <v>29</v>
      </c>
      <c r="F18" s="316">
        <v>49</v>
      </c>
      <c r="G18" s="316">
        <f t="shared" si="1"/>
        <v>3.4482758620689655E-2</v>
      </c>
      <c r="H18" s="316">
        <f t="shared" si="1"/>
        <v>2.0408163265306121E-2</v>
      </c>
      <c r="I18" s="316"/>
      <c r="J18" s="157">
        <v>13</v>
      </c>
      <c r="K18" s="316">
        <v>0.56999999999999995</v>
      </c>
      <c r="L18" s="316">
        <v>19</v>
      </c>
      <c r="M18" s="316">
        <v>38</v>
      </c>
      <c r="N18" s="316">
        <f t="shared" si="3"/>
        <v>5.2631578947368418E-2</v>
      </c>
      <c r="O18" s="316">
        <f t="shared" si="2"/>
        <v>2.6315789473684209E-2</v>
      </c>
      <c r="R18" s="317">
        <f t="shared" si="4"/>
        <v>0.45454545454545453</v>
      </c>
      <c r="S18" s="316">
        <f t="shared" si="4"/>
        <v>5.2631578947368418E-2</v>
      </c>
      <c r="T18" s="318">
        <f t="shared" si="4"/>
        <v>4.5454545454545456E-2</v>
      </c>
      <c r="V18" s="316">
        <f t="shared" si="0"/>
        <v>-0.34482758620689657</v>
      </c>
      <c r="W18" s="316">
        <f t="shared" si="0"/>
        <v>-0.22448979591836737</v>
      </c>
    </row>
    <row r="19" spans="1:23" x14ac:dyDescent="0.2">
      <c r="C19">
        <v>14</v>
      </c>
      <c r="D19" s="316">
        <v>0.38</v>
      </c>
      <c r="E19" s="316">
        <v>29</v>
      </c>
      <c r="F19" s="316">
        <v>49</v>
      </c>
      <c r="G19" s="316">
        <f t="shared" si="1"/>
        <v>3.4482758620689655E-2</v>
      </c>
      <c r="H19" s="316">
        <f t="shared" si="1"/>
        <v>2.0408163265306121E-2</v>
      </c>
      <c r="I19" s="316"/>
      <c r="J19" s="157">
        <v>14</v>
      </c>
      <c r="K19" s="316">
        <v>0.56999999999999995</v>
      </c>
      <c r="L19" s="316">
        <v>21</v>
      </c>
      <c r="M19" s="316">
        <v>38</v>
      </c>
      <c r="N19" s="316">
        <f t="shared" si="3"/>
        <v>4.7619047619047616E-2</v>
      </c>
      <c r="O19" s="316">
        <f t="shared" si="2"/>
        <v>2.6315789473684209E-2</v>
      </c>
      <c r="R19" s="317">
        <f t="shared" si="4"/>
        <v>0.45454545454545453</v>
      </c>
      <c r="S19" s="316">
        <f t="shared" si="4"/>
        <v>5.2631578947368418E-2</v>
      </c>
      <c r="T19" s="318">
        <f t="shared" si="4"/>
        <v>4.5454545454545456E-2</v>
      </c>
      <c r="V19" s="316">
        <f t="shared" si="0"/>
        <v>-0.27586206896551724</v>
      </c>
      <c r="W19" s="316">
        <f t="shared" si="0"/>
        <v>-0.22448979591836737</v>
      </c>
    </row>
    <row r="20" spans="1:23" x14ac:dyDescent="0.2">
      <c r="C20">
        <v>15</v>
      </c>
      <c r="D20" s="316">
        <v>0.38</v>
      </c>
      <c r="E20" s="316">
        <v>29</v>
      </c>
      <c r="F20" s="316">
        <v>49</v>
      </c>
      <c r="G20" s="316">
        <f t="shared" si="1"/>
        <v>3.4482758620689655E-2</v>
      </c>
      <c r="H20" s="316">
        <f t="shared" si="1"/>
        <v>2.0408163265306121E-2</v>
      </c>
      <c r="I20" s="316"/>
      <c r="J20" s="157">
        <v>15</v>
      </c>
      <c r="K20" s="316">
        <v>0.55000000000000004</v>
      </c>
      <c r="L20" s="316">
        <v>21</v>
      </c>
      <c r="M20" s="316">
        <v>38</v>
      </c>
      <c r="N20" s="316">
        <f t="shared" si="3"/>
        <v>4.7619047619047616E-2</v>
      </c>
      <c r="O20" s="316">
        <f t="shared" si="2"/>
        <v>2.6315789473684209E-2</v>
      </c>
      <c r="R20" s="317">
        <f t="shared" si="4"/>
        <v>0.45454545454545453</v>
      </c>
      <c r="S20" s="316">
        <f t="shared" si="4"/>
        <v>5.2631578947368418E-2</v>
      </c>
      <c r="T20" s="318">
        <f t="shared" si="4"/>
        <v>4.5454545454545456E-2</v>
      </c>
      <c r="V20" s="316">
        <f t="shared" si="0"/>
        <v>-0.27586206896551724</v>
      </c>
      <c r="W20" s="316">
        <f t="shared" si="0"/>
        <v>-0.22448979591836737</v>
      </c>
    </row>
    <row r="21" spans="1:23" x14ac:dyDescent="0.2">
      <c r="C21">
        <v>16</v>
      </c>
      <c r="D21" s="316">
        <v>0.42</v>
      </c>
      <c r="E21" s="316">
        <v>29</v>
      </c>
      <c r="F21" s="316">
        <v>49</v>
      </c>
      <c r="G21" s="316">
        <f t="shared" si="1"/>
        <v>3.4482758620689655E-2</v>
      </c>
      <c r="H21" s="316">
        <f t="shared" si="1"/>
        <v>2.0408163265306121E-2</v>
      </c>
      <c r="I21" s="316"/>
      <c r="J21" s="157">
        <v>16</v>
      </c>
      <c r="K21" s="316">
        <v>0.55000000000000004</v>
      </c>
      <c r="L21" s="316">
        <v>21</v>
      </c>
      <c r="M21" s="316">
        <v>38</v>
      </c>
      <c r="N21" s="316">
        <f t="shared" si="3"/>
        <v>4.7619047619047616E-2</v>
      </c>
      <c r="O21" s="316">
        <f t="shared" si="2"/>
        <v>2.6315789473684209E-2</v>
      </c>
      <c r="R21" s="317">
        <f t="shared" si="4"/>
        <v>0.45454545454545453</v>
      </c>
      <c r="S21" s="316">
        <f t="shared" si="4"/>
        <v>5.2631578947368418E-2</v>
      </c>
      <c r="T21" s="318">
        <f t="shared" si="4"/>
        <v>4.5454545454545456E-2</v>
      </c>
      <c r="V21" s="316">
        <f t="shared" si="0"/>
        <v>-0.27586206896551724</v>
      </c>
      <c r="W21" s="316">
        <f t="shared" si="0"/>
        <v>-0.22448979591836737</v>
      </c>
    </row>
    <row r="22" spans="1:23" x14ac:dyDescent="0.2">
      <c r="D22" t="s">
        <v>697</v>
      </c>
      <c r="E22" t="s">
        <v>698</v>
      </c>
      <c r="F22" t="s">
        <v>699</v>
      </c>
      <c r="G22" t="s">
        <v>698</v>
      </c>
      <c r="H22" t="s">
        <v>699</v>
      </c>
    </row>
    <row r="24" spans="1:23" x14ac:dyDescent="0.2">
      <c r="D24" s="3">
        <f>1/(1.1*2)</f>
        <v>0.45454545454545453</v>
      </c>
      <c r="E24">
        <f>1/19</f>
        <v>5.2631578947368418E-2</v>
      </c>
      <c r="F24" s="25">
        <f>1/22</f>
        <v>4.5454545454545456E-2</v>
      </c>
      <c r="H24">
        <f>1/E24</f>
        <v>19</v>
      </c>
      <c r="L24" t="s">
        <v>700</v>
      </c>
    </row>
    <row r="25" spans="1:23" x14ac:dyDescent="0.2">
      <c r="D25" s="3">
        <f>D24</f>
        <v>0.45454545454545453</v>
      </c>
      <c r="E25">
        <f>E24</f>
        <v>5.2631578947368418E-2</v>
      </c>
      <c r="F25" s="25">
        <f>F24</f>
        <v>4.5454545454545456E-2</v>
      </c>
      <c r="H25">
        <f t="shared" ref="H25:H30" si="5">1/E25</f>
        <v>19</v>
      </c>
      <c r="L25" s="330" t="s">
        <v>701</v>
      </c>
    </row>
    <row r="26" spans="1:23" x14ac:dyDescent="0.2">
      <c r="D26" s="3">
        <f t="shared" ref="D26:F39" si="6">D25</f>
        <v>0.45454545454545453</v>
      </c>
      <c r="E26">
        <f t="shared" si="6"/>
        <v>5.2631578947368418E-2</v>
      </c>
      <c r="F26" s="25">
        <f t="shared" si="6"/>
        <v>4.5454545454545456E-2</v>
      </c>
      <c r="H26">
        <f t="shared" si="5"/>
        <v>19</v>
      </c>
      <c r="L26" t="s">
        <v>702</v>
      </c>
    </row>
    <row r="27" spans="1:23" x14ac:dyDescent="0.2">
      <c r="D27" s="3">
        <f t="shared" si="6"/>
        <v>0.45454545454545453</v>
      </c>
      <c r="E27">
        <f t="shared" si="6"/>
        <v>5.2631578947368418E-2</v>
      </c>
      <c r="F27" s="25">
        <f t="shared" si="6"/>
        <v>4.5454545454545456E-2</v>
      </c>
      <c r="H27">
        <f t="shared" si="5"/>
        <v>19</v>
      </c>
      <c r="L27" t="s">
        <v>703</v>
      </c>
    </row>
    <row r="28" spans="1:23" x14ac:dyDescent="0.2">
      <c r="D28" s="3">
        <f t="shared" si="6"/>
        <v>0.45454545454545453</v>
      </c>
      <c r="E28">
        <f t="shared" si="6"/>
        <v>5.2631578947368418E-2</v>
      </c>
      <c r="F28" s="25">
        <f t="shared" si="6"/>
        <v>4.5454545454545456E-2</v>
      </c>
      <c r="H28">
        <f t="shared" si="5"/>
        <v>19</v>
      </c>
      <c r="L28" t="s">
        <v>704</v>
      </c>
    </row>
    <row r="29" spans="1:23" x14ac:dyDescent="0.2">
      <c r="D29" s="3">
        <f t="shared" si="6"/>
        <v>0.45454545454545453</v>
      </c>
      <c r="E29">
        <f t="shared" si="6"/>
        <v>5.2631578947368418E-2</v>
      </c>
      <c r="F29" s="25">
        <f t="shared" si="6"/>
        <v>4.5454545454545456E-2</v>
      </c>
      <c r="H29">
        <f t="shared" si="5"/>
        <v>19</v>
      </c>
      <c r="L29" t="s">
        <v>705</v>
      </c>
    </row>
    <row r="30" spans="1:23" x14ac:dyDescent="0.2">
      <c r="A30" t="s">
        <v>352</v>
      </c>
      <c r="D30" s="3">
        <f t="shared" si="6"/>
        <v>0.45454545454545453</v>
      </c>
      <c r="E30">
        <f t="shared" si="6"/>
        <v>5.2631578947368418E-2</v>
      </c>
      <c r="F30" s="25">
        <f t="shared" si="6"/>
        <v>4.5454545454545456E-2</v>
      </c>
      <c r="H30">
        <f t="shared" si="5"/>
        <v>19</v>
      </c>
      <c r="L30" t="s">
        <v>706</v>
      </c>
    </row>
    <row r="31" spans="1:23" x14ac:dyDescent="0.2">
      <c r="A31" s="171" t="s">
        <v>351</v>
      </c>
      <c r="D31" s="3">
        <f t="shared" si="6"/>
        <v>0.45454545454545453</v>
      </c>
      <c r="E31">
        <f t="shared" si="6"/>
        <v>5.2631578947368418E-2</v>
      </c>
      <c r="F31" s="25">
        <f t="shared" si="6"/>
        <v>4.5454545454545456E-2</v>
      </c>
      <c r="L31" t="s">
        <v>707</v>
      </c>
    </row>
    <row r="32" spans="1:23" x14ac:dyDescent="0.2">
      <c r="D32" s="3">
        <f t="shared" si="6"/>
        <v>0.45454545454545453</v>
      </c>
      <c r="E32">
        <f t="shared" si="6"/>
        <v>5.2631578947368418E-2</v>
      </c>
      <c r="F32" s="25">
        <f t="shared" si="6"/>
        <v>4.5454545454545456E-2</v>
      </c>
      <c r="L32" t="s">
        <v>708</v>
      </c>
    </row>
    <row r="33" spans="1:15" x14ac:dyDescent="0.2">
      <c r="D33" s="3">
        <f t="shared" si="6"/>
        <v>0.45454545454545453</v>
      </c>
      <c r="E33">
        <f t="shared" si="6"/>
        <v>5.2631578947368418E-2</v>
      </c>
      <c r="F33" s="25">
        <f t="shared" si="6"/>
        <v>4.5454545454545456E-2</v>
      </c>
      <c r="L33" t="s">
        <v>709</v>
      </c>
    </row>
    <row r="34" spans="1:15" x14ac:dyDescent="0.2">
      <c r="D34" s="3">
        <f t="shared" si="6"/>
        <v>0.45454545454545453</v>
      </c>
      <c r="E34">
        <f t="shared" si="6"/>
        <v>5.2631578947368418E-2</v>
      </c>
      <c r="F34" s="25">
        <f t="shared" si="6"/>
        <v>4.5454545454545456E-2</v>
      </c>
      <c r="L34" t="s">
        <v>710</v>
      </c>
    </row>
    <row r="35" spans="1:15" x14ac:dyDescent="0.2">
      <c r="D35" s="3">
        <f t="shared" si="6"/>
        <v>0.45454545454545453</v>
      </c>
      <c r="E35">
        <f t="shared" si="6"/>
        <v>5.2631578947368418E-2</v>
      </c>
      <c r="F35" s="25">
        <f t="shared" si="6"/>
        <v>4.5454545454545456E-2</v>
      </c>
      <c r="L35" t="s">
        <v>711</v>
      </c>
    </row>
    <row r="36" spans="1:15" x14ac:dyDescent="0.2">
      <c r="D36" s="3">
        <f t="shared" si="6"/>
        <v>0.45454545454545453</v>
      </c>
      <c r="E36">
        <f t="shared" si="6"/>
        <v>5.2631578947368418E-2</v>
      </c>
      <c r="F36" s="25">
        <f t="shared" si="6"/>
        <v>4.5454545454545456E-2</v>
      </c>
      <c r="H36" s="5">
        <f>16000*1650/2100</f>
        <v>12571.428571428571</v>
      </c>
      <c r="I36" s="5">
        <f>H36*3413/1000</f>
        <v>42906.28571428571</v>
      </c>
    </row>
    <row r="37" spans="1:15" x14ac:dyDescent="0.2">
      <c r="A37">
        <f>0.15</f>
        <v>0.15</v>
      </c>
      <c r="D37" s="3">
        <f t="shared" si="6"/>
        <v>0.45454545454545453</v>
      </c>
      <c r="E37">
        <f t="shared" si="6"/>
        <v>5.2631578947368418E-2</v>
      </c>
      <c r="F37" s="25">
        <f t="shared" si="6"/>
        <v>4.5454545454545456E-2</v>
      </c>
      <c r="H37" s="5">
        <v>2600</v>
      </c>
      <c r="I37" s="5">
        <f>H37*3413/1000</f>
        <v>8873.7999999999993</v>
      </c>
      <c r="K37">
        <f>21</f>
        <v>21</v>
      </c>
      <c r="L37">
        <v>11</v>
      </c>
    </row>
    <row r="38" spans="1:15" x14ac:dyDescent="0.2">
      <c r="A38">
        <f>0.85*A37</f>
        <v>0.1275</v>
      </c>
      <c r="D38" s="3">
        <f t="shared" si="6"/>
        <v>0.45454545454545453</v>
      </c>
      <c r="E38">
        <f t="shared" si="6"/>
        <v>5.2631578947368418E-2</v>
      </c>
      <c r="F38" s="25">
        <f t="shared" si="6"/>
        <v>4.5454545454545456E-2</v>
      </c>
      <c r="H38" s="9">
        <f>H37*1600/2100</f>
        <v>1980.952380952381</v>
      </c>
      <c r="I38" s="5">
        <f>H38*3413/1000</f>
        <v>6760.9904761904763</v>
      </c>
      <c r="K38">
        <f>K37/3.413</f>
        <v>6.1529446234983887</v>
      </c>
      <c r="L38">
        <f>L37/3.413</f>
        <v>3.2229709932610606</v>
      </c>
    </row>
    <row r="39" spans="1:15" x14ac:dyDescent="0.2">
      <c r="D39" s="3">
        <f t="shared" si="6"/>
        <v>0.45454545454545453</v>
      </c>
      <c r="E39">
        <f t="shared" si="6"/>
        <v>5.2631578947368418E-2</v>
      </c>
      <c r="F39" s="25">
        <f t="shared" si="6"/>
        <v>4.5454545454545456E-2</v>
      </c>
      <c r="O39" t="s">
        <v>734</v>
      </c>
    </row>
    <row r="41" spans="1:15" x14ac:dyDescent="0.2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</row>
    <row r="42" spans="1:15" x14ac:dyDescent="0.2">
      <c r="A42">
        <v>41</v>
      </c>
      <c r="B42" t="s">
        <v>713</v>
      </c>
      <c r="C42" t="s">
        <v>712</v>
      </c>
    </row>
    <row r="43" spans="1:15" x14ac:dyDescent="0.2">
      <c r="A43">
        <v>42</v>
      </c>
      <c r="C43" s="123"/>
      <c r="D43" s="123" t="s">
        <v>723</v>
      </c>
      <c r="E43" s="123" t="s">
        <v>726</v>
      </c>
      <c r="F43" s="123" t="s">
        <v>727</v>
      </c>
      <c r="G43" s="123" t="s">
        <v>728</v>
      </c>
      <c r="H43" s="123" t="s">
        <v>729</v>
      </c>
      <c r="I43" s="123" t="s">
        <v>730</v>
      </c>
      <c r="J43" s="123" t="s">
        <v>731</v>
      </c>
      <c r="K43" s="123" t="s">
        <v>732</v>
      </c>
      <c r="L43" s="123" t="s">
        <v>770</v>
      </c>
      <c r="M43" s="123" t="s">
        <v>772</v>
      </c>
      <c r="N43" s="123" t="s">
        <v>771</v>
      </c>
    </row>
    <row r="44" spans="1:15" x14ac:dyDescent="0.2">
      <c r="A44">
        <v>43</v>
      </c>
      <c r="C44" s="123" t="s">
        <v>733</v>
      </c>
      <c r="D44" s="123">
        <v>7.9000000000000001E-2</v>
      </c>
      <c r="E44" s="123">
        <v>4.9000000000000002E-2</v>
      </c>
      <c r="F44" s="123">
        <f>E44</f>
        <v>4.9000000000000002E-2</v>
      </c>
      <c r="G44" s="353">
        <f>F44</f>
        <v>4.9000000000000002E-2</v>
      </c>
      <c r="H44" s="353">
        <f>F44</f>
        <v>4.9000000000000002E-2</v>
      </c>
      <c r="I44" s="353">
        <f t="shared" ref="I44:K45" si="7">H44</f>
        <v>4.9000000000000002E-2</v>
      </c>
      <c r="J44" s="353">
        <f t="shared" si="7"/>
        <v>4.9000000000000002E-2</v>
      </c>
      <c r="K44" s="353">
        <f t="shared" si="7"/>
        <v>4.9000000000000002E-2</v>
      </c>
      <c r="L44" s="353">
        <v>3.4000000000000002E-2</v>
      </c>
      <c r="M44" s="353">
        <v>3.4000000000000002E-2</v>
      </c>
      <c r="N44" s="353">
        <f>O44</f>
        <v>2.6315789473684209E-2</v>
      </c>
      <c r="O44">
        <f>1/38</f>
        <v>2.6315789473684209E-2</v>
      </c>
    </row>
    <row r="45" spans="1:15" x14ac:dyDescent="0.2">
      <c r="A45">
        <v>44</v>
      </c>
      <c r="C45" s="123" t="s">
        <v>725</v>
      </c>
      <c r="D45" s="123">
        <v>0.35599999999999998</v>
      </c>
      <c r="E45" s="123">
        <v>0.11</v>
      </c>
      <c r="F45" s="123">
        <v>0.11</v>
      </c>
      <c r="G45" s="353">
        <v>0.10199999999999999</v>
      </c>
      <c r="H45" s="353">
        <v>0.10199999999999999</v>
      </c>
      <c r="I45" s="353">
        <f t="shared" si="7"/>
        <v>0.10199999999999999</v>
      </c>
      <c r="J45" s="353">
        <f t="shared" si="7"/>
        <v>0.10199999999999999</v>
      </c>
      <c r="K45" s="353">
        <f t="shared" si="7"/>
        <v>0.10199999999999999</v>
      </c>
      <c r="L45" s="353">
        <v>5.0999999999999997E-2</v>
      </c>
      <c r="M45" s="353">
        <v>5.0999999999999997E-2</v>
      </c>
      <c r="N45" s="353">
        <v>4.8000000000000001E-2</v>
      </c>
      <c r="O45" s="353">
        <v>4.8000000000000001E-2</v>
      </c>
    </row>
    <row r="46" spans="1:15" x14ac:dyDescent="0.2">
      <c r="A46">
        <v>45</v>
      </c>
      <c r="C46" s="123" t="s">
        <v>724</v>
      </c>
      <c r="D46" s="123">
        <v>0.99</v>
      </c>
      <c r="E46" s="123">
        <v>0.99</v>
      </c>
      <c r="F46" s="123">
        <v>0.99</v>
      </c>
      <c r="G46" s="353">
        <v>0.99</v>
      </c>
      <c r="H46" s="353">
        <v>0.99</v>
      </c>
      <c r="I46" s="353">
        <v>0.99</v>
      </c>
      <c r="J46" s="353">
        <v>0.99</v>
      </c>
      <c r="K46" s="353">
        <v>0.99</v>
      </c>
      <c r="L46" s="353">
        <v>0.5</v>
      </c>
      <c r="M46" s="353">
        <v>0.36</v>
      </c>
      <c r="N46" s="353">
        <v>0.3</v>
      </c>
    </row>
    <row r="47" spans="1:15" x14ac:dyDescent="0.2">
      <c r="A47">
        <v>46</v>
      </c>
      <c r="C47" s="331" t="s">
        <v>714</v>
      </c>
      <c r="N47" s="178" t="s">
        <v>773</v>
      </c>
    </row>
    <row r="48" spans="1:15" x14ac:dyDescent="0.2">
      <c r="A48">
        <v>47</v>
      </c>
    </row>
    <row r="49" spans="1:20" x14ac:dyDescent="0.2">
      <c r="A49">
        <v>48</v>
      </c>
      <c r="C49" t="s">
        <v>715</v>
      </c>
    </row>
    <row r="50" spans="1:20" x14ac:dyDescent="0.2">
      <c r="A50">
        <v>49</v>
      </c>
      <c r="C50" t="s">
        <v>716</v>
      </c>
      <c r="D50">
        <v>0.75</v>
      </c>
      <c r="E50">
        <v>0.78</v>
      </c>
      <c r="F50">
        <v>0.78</v>
      </c>
      <c r="G50">
        <f t="shared" ref="G50:K51" si="8">F50</f>
        <v>0.78</v>
      </c>
      <c r="H50">
        <f t="shared" si="8"/>
        <v>0.78</v>
      </c>
      <c r="I50">
        <f t="shared" si="8"/>
        <v>0.78</v>
      </c>
      <c r="J50">
        <f t="shared" si="8"/>
        <v>0.78</v>
      </c>
      <c r="K50">
        <f t="shared" si="8"/>
        <v>0.78</v>
      </c>
      <c r="L50">
        <v>0.96</v>
      </c>
      <c r="O50">
        <f>1/O45</f>
        <v>20.833333333333332</v>
      </c>
    </row>
    <row r="51" spans="1:20" x14ac:dyDescent="0.2">
      <c r="A51">
        <v>50</v>
      </c>
      <c r="C51" t="s">
        <v>717</v>
      </c>
      <c r="D51">
        <v>3.4129999999999998</v>
      </c>
      <c r="E51">
        <f>D51</f>
        <v>3.4129999999999998</v>
      </c>
      <c r="F51">
        <f>E51</f>
        <v>3.4129999999999998</v>
      </c>
      <c r="G51">
        <f t="shared" si="8"/>
        <v>3.4129999999999998</v>
      </c>
      <c r="H51">
        <f t="shared" si="8"/>
        <v>3.4129999999999998</v>
      </c>
      <c r="I51">
        <f t="shared" si="8"/>
        <v>3.4129999999999998</v>
      </c>
      <c r="J51">
        <f t="shared" si="8"/>
        <v>3.4129999999999998</v>
      </c>
      <c r="K51">
        <f t="shared" si="8"/>
        <v>3.4129999999999998</v>
      </c>
    </row>
    <row r="52" spans="1:20" x14ac:dyDescent="0.2">
      <c r="A52">
        <v>51</v>
      </c>
      <c r="C52" t="s">
        <v>718</v>
      </c>
      <c r="D52">
        <v>8</v>
      </c>
      <c r="E52">
        <v>8</v>
      </c>
      <c r="F52">
        <v>8.9</v>
      </c>
      <c r="G52">
        <v>9.6999999999999993</v>
      </c>
      <c r="H52">
        <v>9.6999999999999993</v>
      </c>
      <c r="I52">
        <f>H52</f>
        <v>9.6999999999999993</v>
      </c>
      <c r="J52">
        <f>I52</f>
        <v>9.6999999999999993</v>
      </c>
      <c r="K52">
        <v>13</v>
      </c>
    </row>
    <row r="53" spans="1:20" x14ac:dyDescent="0.2">
      <c r="A53">
        <v>52</v>
      </c>
      <c r="C53" t="s">
        <v>719</v>
      </c>
      <c r="D53">
        <v>0.52500000000000002</v>
      </c>
      <c r="E53">
        <f>D53</f>
        <v>0.52500000000000002</v>
      </c>
      <c r="F53">
        <f>E53</f>
        <v>0.52500000000000002</v>
      </c>
      <c r="G53">
        <v>0.52500000000000002</v>
      </c>
      <c r="H53">
        <v>0.57499999999999996</v>
      </c>
      <c r="I53">
        <v>0.57499999999999996</v>
      </c>
      <c r="J53">
        <f>I53</f>
        <v>0.57499999999999996</v>
      </c>
      <c r="K53">
        <f>J53</f>
        <v>0.57499999999999996</v>
      </c>
    </row>
    <row r="54" spans="1:20" x14ac:dyDescent="0.2">
      <c r="A54">
        <v>53</v>
      </c>
      <c r="M54">
        <f>1/38</f>
        <v>2.6315789473684209E-2</v>
      </c>
    </row>
    <row r="55" spans="1:20" x14ac:dyDescent="0.2">
      <c r="A55">
        <v>54</v>
      </c>
      <c r="C55" t="s">
        <v>720</v>
      </c>
      <c r="D55">
        <f>D51/3.413</f>
        <v>1</v>
      </c>
      <c r="E55">
        <f t="shared" ref="E55:K56" si="9">E51/3.413</f>
        <v>1</v>
      </c>
      <c r="F55">
        <f t="shared" si="9"/>
        <v>1</v>
      </c>
      <c r="G55">
        <f t="shared" si="9"/>
        <v>1</v>
      </c>
      <c r="H55" s="156">
        <f t="shared" si="9"/>
        <v>1</v>
      </c>
      <c r="I55" s="156">
        <f t="shared" si="9"/>
        <v>1</v>
      </c>
      <c r="J55" s="156">
        <f t="shared" si="9"/>
        <v>1</v>
      </c>
      <c r="K55" s="156">
        <f t="shared" si="9"/>
        <v>1</v>
      </c>
      <c r="M55">
        <f>1/30</f>
        <v>3.3333333333333333E-2</v>
      </c>
    </row>
    <row r="56" spans="1:20" x14ac:dyDescent="0.2">
      <c r="A56">
        <v>55</v>
      </c>
      <c r="C56" t="s">
        <v>721</v>
      </c>
      <c r="D56">
        <f>D52/3.413</f>
        <v>2.3439789041898624</v>
      </c>
      <c r="E56">
        <f t="shared" si="9"/>
        <v>2.3439789041898624</v>
      </c>
      <c r="F56">
        <f t="shared" si="9"/>
        <v>2.6076765309112222</v>
      </c>
      <c r="G56">
        <f t="shared" si="9"/>
        <v>2.8420744213302078</v>
      </c>
      <c r="H56">
        <f t="shared" si="9"/>
        <v>2.8420744213302078</v>
      </c>
      <c r="I56">
        <f t="shared" si="9"/>
        <v>2.8420744213302078</v>
      </c>
      <c r="J56">
        <f t="shared" si="9"/>
        <v>2.8420744213302078</v>
      </c>
      <c r="K56">
        <f t="shared" si="9"/>
        <v>3.8089657193085262</v>
      </c>
      <c r="M56">
        <f>1/13</f>
        <v>7.6923076923076927E-2</v>
      </c>
    </row>
    <row r="57" spans="1:20" x14ac:dyDescent="0.2">
      <c r="A57">
        <v>56</v>
      </c>
    </row>
    <row r="58" spans="1:20" x14ac:dyDescent="0.2">
      <c r="A58">
        <v>57</v>
      </c>
      <c r="C58" t="s">
        <v>722</v>
      </c>
    </row>
    <row r="59" spans="1:20" x14ac:dyDescent="0.2">
      <c r="A59">
        <v>58</v>
      </c>
      <c r="C59" t="s">
        <v>699</v>
      </c>
      <c r="D59">
        <f>1/D44</f>
        <v>12.658227848101266</v>
      </c>
      <c r="E59">
        <f t="shared" ref="E59:K60" si="10">1/E44</f>
        <v>20.408163265306122</v>
      </c>
      <c r="F59">
        <f t="shared" si="10"/>
        <v>20.408163265306122</v>
      </c>
      <c r="G59">
        <f t="shared" si="10"/>
        <v>20.408163265306122</v>
      </c>
      <c r="H59">
        <f t="shared" si="10"/>
        <v>20.408163265306122</v>
      </c>
      <c r="I59">
        <f t="shared" si="10"/>
        <v>20.408163265306122</v>
      </c>
      <c r="J59">
        <f t="shared" si="10"/>
        <v>20.408163265306122</v>
      </c>
      <c r="K59">
        <f t="shared" si="10"/>
        <v>20.408163265306122</v>
      </c>
      <c r="L59">
        <f>1/L44</f>
        <v>29.411764705882351</v>
      </c>
      <c r="T59">
        <f>300000</f>
        <v>300000</v>
      </c>
    </row>
    <row r="60" spans="1:20" x14ac:dyDescent="0.2">
      <c r="A60">
        <v>59</v>
      </c>
      <c r="C60" t="s">
        <v>698</v>
      </c>
      <c r="D60">
        <f>1/D45</f>
        <v>2.808988764044944</v>
      </c>
      <c r="E60">
        <f t="shared" si="10"/>
        <v>9.0909090909090917</v>
      </c>
      <c r="F60">
        <f t="shared" si="10"/>
        <v>9.0909090909090917</v>
      </c>
      <c r="G60">
        <f t="shared" si="10"/>
        <v>9.8039215686274517</v>
      </c>
      <c r="H60">
        <f t="shared" si="10"/>
        <v>9.8039215686274517</v>
      </c>
      <c r="I60">
        <f t="shared" si="10"/>
        <v>9.8039215686274517</v>
      </c>
      <c r="J60">
        <f t="shared" si="10"/>
        <v>9.8039215686274517</v>
      </c>
      <c r="K60">
        <f t="shared" si="10"/>
        <v>9.8039215686274517</v>
      </c>
      <c r="L60">
        <f>1/L45</f>
        <v>19.607843137254903</v>
      </c>
      <c r="O60">
        <v>8000</v>
      </c>
      <c r="P60">
        <f>O60/29.3</f>
        <v>273.03754266211604</v>
      </c>
      <c r="T60">
        <f>T59/365</f>
        <v>821.91780821917803</v>
      </c>
    </row>
    <row r="61" spans="1:20" x14ac:dyDescent="0.2">
      <c r="A61">
        <v>60</v>
      </c>
      <c r="N61">
        <f>48000</f>
        <v>48000</v>
      </c>
    </row>
    <row r="62" spans="1:20" x14ac:dyDescent="0.2">
      <c r="I62">
        <f t="shared" ref="I62:L64" si="11">1/I44</f>
        <v>20.408163265306122</v>
      </c>
      <c r="J62">
        <f t="shared" si="11"/>
        <v>20.408163265306122</v>
      </c>
      <c r="K62">
        <f t="shared" si="11"/>
        <v>20.408163265306122</v>
      </c>
      <c r="L62">
        <f t="shared" si="11"/>
        <v>29.411764705882351</v>
      </c>
      <c r="N62">
        <f>N61/29.3</f>
        <v>1638.2252559726962</v>
      </c>
    </row>
    <row r="63" spans="1:20" x14ac:dyDescent="0.2">
      <c r="I63">
        <f t="shared" si="11"/>
        <v>9.8039215686274517</v>
      </c>
      <c r="J63">
        <f t="shared" si="11"/>
        <v>9.8039215686274517</v>
      </c>
      <c r="K63">
        <f t="shared" si="11"/>
        <v>9.8039215686274517</v>
      </c>
      <c r="L63">
        <f>1/L45</f>
        <v>19.607843137254903</v>
      </c>
    </row>
    <row r="64" spans="1:20" x14ac:dyDescent="0.2">
      <c r="A64">
        <v>3710</v>
      </c>
      <c r="I64">
        <f t="shared" si="11"/>
        <v>1.0101010101010102</v>
      </c>
      <c r="J64">
        <f t="shared" si="11"/>
        <v>1.0101010101010102</v>
      </c>
      <c r="K64">
        <f t="shared" si="11"/>
        <v>1.0101010101010102</v>
      </c>
      <c r="L64">
        <f>1/L46</f>
        <v>2</v>
      </c>
    </row>
    <row r="65" spans="1:6" x14ac:dyDescent="0.2">
      <c r="A65">
        <v>7276.9</v>
      </c>
      <c r="C65">
        <v>1</v>
      </c>
      <c r="D65">
        <v>0.42</v>
      </c>
      <c r="F65">
        <f>2018-40</f>
        <v>1978</v>
      </c>
    </row>
    <row r="66" spans="1:6" x14ac:dyDescent="0.2">
      <c r="A66">
        <f>A64/A65</f>
        <v>0.50983248361252731</v>
      </c>
      <c r="C66">
        <f>0.58*C65+D65*0.42</f>
        <v>0.75639999999999996</v>
      </c>
    </row>
  </sheetData>
  <hyperlinks>
    <hyperlink ref="N47" r:id="rId1"/>
  </hyperlink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2"/>
  <sheetViews>
    <sheetView workbookViewId="0">
      <selection activeCell="F29" sqref="F29"/>
    </sheetView>
  </sheetViews>
  <sheetFormatPr baseColWidth="10" defaultRowHeight="16" x14ac:dyDescent="0.2"/>
  <sheetData>
    <row r="3" spans="3:11" x14ac:dyDescent="0.2">
      <c r="D3" t="s">
        <v>188</v>
      </c>
    </row>
    <row r="5" spans="3:11" x14ac:dyDescent="0.2">
      <c r="D5" t="s">
        <v>190</v>
      </c>
      <c r="F5">
        <v>65</v>
      </c>
    </row>
    <row r="6" spans="3:11" x14ac:dyDescent="0.2">
      <c r="C6" t="s">
        <v>189</v>
      </c>
      <c r="D6" t="s">
        <v>191</v>
      </c>
      <c r="F6">
        <v>80</v>
      </c>
    </row>
    <row r="8" spans="3:11" x14ac:dyDescent="0.2">
      <c r="F8" t="s">
        <v>210</v>
      </c>
    </row>
    <row r="9" spans="3:11" x14ac:dyDescent="0.2">
      <c r="C9" t="s">
        <v>189</v>
      </c>
      <c r="D9" t="s">
        <v>194</v>
      </c>
      <c r="F9">
        <v>300</v>
      </c>
      <c r="H9" t="s">
        <v>204</v>
      </c>
      <c r="I9">
        <f>SUM(F9:F12)</f>
        <v>1600</v>
      </c>
      <c r="J9" t="s">
        <v>206</v>
      </c>
      <c r="K9" s="133">
        <f>I9/$F$22</f>
        <v>0.56838365896980458</v>
      </c>
    </row>
    <row r="10" spans="3:11" x14ac:dyDescent="0.2">
      <c r="D10" t="s">
        <v>193</v>
      </c>
      <c r="F10">
        <v>450</v>
      </c>
      <c r="H10" t="s">
        <v>205</v>
      </c>
      <c r="I10">
        <f>SUM(F13:F16)</f>
        <v>890</v>
      </c>
      <c r="J10" t="s">
        <v>207</v>
      </c>
      <c r="K10" s="133">
        <f>I10/$F$22</f>
        <v>0.31616341030195383</v>
      </c>
    </row>
    <row r="11" spans="3:11" x14ac:dyDescent="0.2">
      <c r="D11" t="s">
        <v>195</v>
      </c>
      <c r="F11">
        <v>500</v>
      </c>
      <c r="H11" t="s">
        <v>208</v>
      </c>
      <c r="I11">
        <f>SUM(F17:F20)</f>
        <v>325</v>
      </c>
      <c r="J11" t="s">
        <v>209</v>
      </c>
      <c r="K11" s="133">
        <f>I11/$F$22</f>
        <v>0.11545293072824156</v>
      </c>
    </row>
    <row r="12" spans="3:11" x14ac:dyDescent="0.2">
      <c r="D12" t="s">
        <v>192</v>
      </c>
      <c r="F12">
        <v>350</v>
      </c>
    </row>
    <row r="13" spans="3:11" x14ac:dyDescent="0.2">
      <c r="D13" t="s">
        <v>196</v>
      </c>
      <c r="F13">
        <f>F12</f>
        <v>350</v>
      </c>
    </row>
    <row r="14" spans="3:11" x14ac:dyDescent="0.2">
      <c r="D14" t="s">
        <v>197</v>
      </c>
      <c r="F14">
        <v>250</v>
      </c>
    </row>
    <row r="15" spans="3:11" x14ac:dyDescent="0.2">
      <c r="D15" t="s">
        <v>198</v>
      </c>
      <c r="F15">
        <v>190</v>
      </c>
    </row>
    <row r="16" spans="3:11" x14ac:dyDescent="0.2">
      <c r="D16" t="s">
        <v>199</v>
      </c>
      <c r="F16">
        <v>100</v>
      </c>
    </row>
    <row r="17" spans="4:6" x14ac:dyDescent="0.2">
      <c r="D17" t="s">
        <v>201</v>
      </c>
      <c r="E17">
        <v>75</v>
      </c>
      <c r="F17">
        <v>75</v>
      </c>
    </row>
    <row r="18" spans="4:6" x14ac:dyDescent="0.2">
      <c r="D18" t="s">
        <v>202</v>
      </c>
      <c r="F18">
        <v>75</v>
      </c>
    </row>
    <row r="19" spans="4:6" x14ac:dyDescent="0.2">
      <c r="D19" t="s">
        <v>203</v>
      </c>
      <c r="F19">
        <v>50</v>
      </c>
    </row>
    <row r="20" spans="4:6" x14ac:dyDescent="0.2">
      <c r="D20" t="s">
        <v>200</v>
      </c>
      <c r="F20">
        <v>125</v>
      </c>
    </row>
    <row r="22" spans="4:6" x14ac:dyDescent="0.2">
      <c r="F22">
        <f>SUM(F9:F20)</f>
        <v>2815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zoomScale="43" zoomScaleNormal="43" zoomScalePageLayoutView="43" workbookViewId="0">
      <selection activeCell="C21" sqref="C21"/>
    </sheetView>
  </sheetViews>
  <sheetFormatPr baseColWidth="10" defaultRowHeight="16" x14ac:dyDescent="0.2"/>
  <sheetData>
    <row r="1" spans="2:7" x14ac:dyDescent="0.2">
      <c r="B1" t="s">
        <v>347</v>
      </c>
      <c r="E1" s="139">
        <v>1</v>
      </c>
      <c r="F1" t="s">
        <v>348</v>
      </c>
    </row>
    <row r="3" spans="2:7" x14ac:dyDescent="0.2">
      <c r="B3" t="s">
        <v>346</v>
      </c>
    </row>
    <row r="5" spans="2:7" x14ac:dyDescent="0.2">
      <c r="C5" t="s">
        <v>14</v>
      </c>
      <c r="D5" t="s">
        <v>110</v>
      </c>
      <c r="E5" t="s">
        <v>185</v>
      </c>
      <c r="F5" t="s">
        <v>344</v>
      </c>
      <c r="G5" t="s">
        <v>345</v>
      </c>
    </row>
    <row r="6" spans="2:7" x14ac:dyDescent="0.2">
      <c r="B6">
        <v>2020</v>
      </c>
      <c r="C6">
        <v>0.9</v>
      </c>
      <c r="D6">
        <v>0.1</v>
      </c>
      <c r="E6">
        <v>0</v>
      </c>
      <c r="F6">
        <v>0</v>
      </c>
      <c r="G6">
        <f>SUM(C6:F6)</f>
        <v>1</v>
      </c>
    </row>
    <row r="7" spans="2:7" x14ac:dyDescent="0.2">
      <c r="B7">
        <v>2030</v>
      </c>
      <c r="C7">
        <f>C6</f>
        <v>0.9</v>
      </c>
      <c r="D7">
        <v>0.1</v>
      </c>
      <c r="E7">
        <v>0</v>
      </c>
      <c r="F7">
        <v>0</v>
      </c>
      <c r="G7">
        <f>SUM(C7:F7)</f>
        <v>1</v>
      </c>
    </row>
    <row r="8" spans="2:7" x14ac:dyDescent="0.2">
      <c r="B8">
        <v>2040</v>
      </c>
      <c r="C8">
        <f>C7</f>
        <v>0.9</v>
      </c>
      <c r="D8">
        <v>0.1</v>
      </c>
      <c r="E8">
        <v>0</v>
      </c>
      <c r="F8">
        <v>0</v>
      </c>
      <c r="G8">
        <f>SUM(C8:F8)</f>
        <v>1</v>
      </c>
    </row>
    <row r="9" spans="2:7" x14ac:dyDescent="0.2">
      <c r="B9">
        <v>2050</v>
      </c>
      <c r="C9">
        <f>C8</f>
        <v>0.9</v>
      </c>
      <c r="D9">
        <v>0.1</v>
      </c>
      <c r="E9">
        <v>0</v>
      </c>
      <c r="F9">
        <v>0</v>
      </c>
      <c r="G9">
        <f>SUM(C9:F9)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2"/>
  <sheetViews>
    <sheetView topLeftCell="A15" zoomScale="110" zoomScaleNormal="110" zoomScalePageLayoutView="110" workbookViewId="0">
      <selection activeCell="C21" sqref="C21:C27"/>
    </sheetView>
  </sheetViews>
  <sheetFormatPr baseColWidth="10" defaultRowHeight="16" x14ac:dyDescent="0.2"/>
  <cols>
    <col min="1" max="1" width="12.5" bestFit="1" customWidth="1"/>
    <col min="5" max="5" width="12.5" bestFit="1" customWidth="1"/>
    <col min="6" max="7" width="12.6640625" customWidth="1"/>
    <col min="8" max="18" width="11.5" customWidth="1"/>
    <col min="19" max="19" width="12.6640625" customWidth="1"/>
    <col min="20" max="20" width="12.5" customWidth="1"/>
  </cols>
  <sheetData>
    <row r="1" spans="1:37" x14ac:dyDescent="0.2">
      <c r="D1">
        <f>0.0015*10^6</f>
        <v>1500</v>
      </c>
    </row>
    <row r="2" spans="1:37" x14ac:dyDescent="0.2">
      <c r="A2" s="9">
        <f>D13*10^6</f>
        <v>38939.459999999992</v>
      </c>
      <c r="F2" s="10" t="s">
        <v>35</v>
      </c>
      <c r="G2" s="70">
        <v>0.15</v>
      </c>
      <c r="H2" s="11"/>
      <c r="I2" s="11"/>
      <c r="J2" s="13"/>
      <c r="K2" s="18"/>
      <c r="L2" s="18"/>
    </row>
    <row r="3" spans="1:37" x14ac:dyDescent="0.2">
      <c r="A3" s="9">
        <f>A2*(1+E13)</f>
        <v>39138.199215947992</v>
      </c>
      <c r="B3" s="9">
        <f>A3-A2</f>
        <v>198.73921594800049</v>
      </c>
      <c r="C3" s="9">
        <f>ROUNDUP(B3*0.0015,0)</f>
        <v>1</v>
      </c>
      <c r="F3" s="17"/>
      <c r="G3" s="18"/>
      <c r="H3" s="18"/>
      <c r="I3" s="18"/>
      <c r="J3" s="19"/>
      <c r="K3" s="18"/>
      <c r="L3" s="18"/>
      <c r="N3">
        <f>35000/29.3</f>
        <v>1194.5392491467576</v>
      </c>
    </row>
    <row r="4" spans="1:37" ht="66" x14ac:dyDescent="0.3">
      <c r="C4" t="s">
        <v>736</v>
      </c>
      <c r="D4" s="342">
        <v>16</v>
      </c>
      <c r="F4" s="115"/>
      <c r="G4" s="118" t="s">
        <v>36</v>
      </c>
      <c r="H4" s="118" t="s">
        <v>37</v>
      </c>
      <c r="I4" s="118" t="s">
        <v>38</v>
      </c>
      <c r="J4" s="119" t="s">
        <v>39</v>
      </c>
      <c r="K4" s="118"/>
      <c r="L4" s="118"/>
    </row>
    <row r="5" spans="1:37" ht="19" customHeight="1" x14ac:dyDescent="0.2">
      <c r="D5" s="2"/>
      <c r="F5" s="116" t="s">
        <v>12</v>
      </c>
      <c r="G5" s="88">
        <f>2*(30*10*2) + 2*(35*10*2)</f>
        <v>2600</v>
      </c>
      <c r="H5" s="88">
        <f>G2*G5</f>
        <v>390</v>
      </c>
      <c r="I5" s="88">
        <f xml:space="preserve"> 30*35</f>
        <v>1050</v>
      </c>
      <c r="J5" s="89">
        <f>30*35*2</f>
        <v>2100</v>
      </c>
      <c r="K5" s="88"/>
      <c r="L5" s="88"/>
      <c r="N5">
        <f>H5/J5</f>
        <v>0.18571428571428572</v>
      </c>
      <c r="P5">
        <f>0.6*13.9</f>
        <v>8.34</v>
      </c>
      <c r="T5" t="s">
        <v>73</v>
      </c>
    </row>
    <row r="6" spans="1:37" ht="22" customHeight="1" x14ac:dyDescent="0.2">
      <c r="C6" t="s">
        <v>40</v>
      </c>
      <c r="D6" s="2">
        <v>39</v>
      </c>
      <c r="F6" s="117" t="s">
        <v>41</v>
      </c>
      <c r="G6" s="90">
        <f>30*10*2 + 35*10</f>
        <v>950</v>
      </c>
      <c r="H6" s="90">
        <f>G2*G6</f>
        <v>142.5</v>
      </c>
      <c r="I6" s="90">
        <f>30*35/2</f>
        <v>525</v>
      </c>
      <c r="J6" s="91">
        <f>30*35</f>
        <v>1050</v>
      </c>
      <c r="K6" s="88"/>
      <c r="L6" s="88"/>
      <c r="T6" t="s">
        <v>74</v>
      </c>
    </row>
    <row r="7" spans="1:37" ht="19" x14ac:dyDescent="0.25">
      <c r="A7">
        <f>D7*0.0025*10^6</f>
        <v>20155</v>
      </c>
      <c r="C7" t="s">
        <v>42</v>
      </c>
      <c r="D7" s="343">
        <f>13.9*0.58</f>
        <v>8.0619999999999994</v>
      </c>
    </row>
    <row r="8" spans="1:37" x14ac:dyDescent="0.2">
      <c r="C8" t="s">
        <v>43</v>
      </c>
      <c r="D8" s="341">
        <v>0</v>
      </c>
      <c r="E8" s="65"/>
      <c r="F8" s="66"/>
      <c r="G8" s="66"/>
      <c r="H8" s="66"/>
      <c r="I8" s="66"/>
      <c r="J8" s="66"/>
      <c r="K8" s="66"/>
      <c r="L8" s="66"/>
      <c r="M8" s="66">
        <f>10^6*8</f>
        <v>8000000</v>
      </c>
      <c r="N8" s="66">
        <f>M8/8</f>
        <v>1000000</v>
      </c>
      <c r="O8" s="66"/>
      <c r="P8" s="66"/>
      <c r="Q8" s="66"/>
      <c r="R8" s="66"/>
      <c r="S8" s="8"/>
      <c r="T8" s="67" t="s">
        <v>44</v>
      </c>
      <c r="U8" s="8"/>
      <c r="V8" s="8"/>
      <c r="W8" s="8"/>
      <c r="X8" s="8"/>
      <c r="Y8" s="8"/>
      <c r="Z8" s="8"/>
      <c r="AA8" s="8"/>
      <c r="AB8" s="67" t="s">
        <v>44</v>
      </c>
      <c r="AC8" s="8"/>
      <c r="AD8" s="8"/>
      <c r="AE8" s="8"/>
      <c r="AF8" s="8"/>
      <c r="AG8" s="8"/>
      <c r="AH8" s="8"/>
      <c r="AI8" s="8"/>
      <c r="AJ8" s="8"/>
    </row>
    <row r="9" spans="1:37" x14ac:dyDescent="0.2">
      <c r="C9" t="s">
        <v>45</v>
      </c>
      <c r="D9" s="2">
        <f>D7*(1-D8)</f>
        <v>8.0619999999999994</v>
      </c>
      <c r="G9" s="68"/>
      <c r="H9" s="68"/>
      <c r="I9" s="68"/>
      <c r="J9" s="68"/>
      <c r="K9" s="68"/>
      <c r="L9" s="68"/>
      <c r="M9" s="68">
        <f>M8*0.0025</f>
        <v>20000</v>
      </c>
      <c r="N9" s="68">
        <f>M9/8</f>
        <v>2500</v>
      </c>
      <c r="O9" s="68">
        <f>N9/0.0025</f>
        <v>1000000</v>
      </c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37" ht="25" customHeight="1" x14ac:dyDescent="0.2">
      <c r="A10" s="9"/>
      <c r="B10" s="9"/>
      <c r="T10" s="64" t="s">
        <v>46</v>
      </c>
      <c r="Y10" s="64" t="s">
        <v>47</v>
      </c>
      <c r="AD10" t="s">
        <v>48</v>
      </c>
      <c r="AI10" t="s">
        <v>49</v>
      </c>
    </row>
    <row r="11" spans="1:37" x14ac:dyDescent="0.2">
      <c r="F11" s="69" t="s">
        <v>50</v>
      </c>
      <c r="G11" s="11"/>
      <c r="H11" s="11"/>
      <c r="I11" s="13"/>
      <c r="J11" s="18"/>
      <c r="K11" s="18"/>
      <c r="L11" s="18"/>
      <c r="N11" t="s">
        <v>51</v>
      </c>
    </row>
    <row r="12" spans="1:37" ht="64" x14ac:dyDescent="0.2">
      <c r="B12" t="s">
        <v>52</v>
      </c>
      <c r="C12" s="82" t="s">
        <v>53</v>
      </c>
      <c r="D12" s="82" t="s">
        <v>54</v>
      </c>
      <c r="E12" s="82" t="s">
        <v>72</v>
      </c>
      <c r="F12" s="17" t="s">
        <v>55</v>
      </c>
      <c r="G12" s="18" t="s">
        <v>41</v>
      </c>
      <c r="H12" s="18" t="s">
        <v>48</v>
      </c>
      <c r="I12" s="19" t="s">
        <v>49</v>
      </c>
      <c r="J12" s="18"/>
      <c r="K12" s="345" t="s">
        <v>735</v>
      </c>
      <c r="L12" s="18"/>
      <c r="M12" t="s">
        <v>52</v>
      </c>
      <c r="N12" t="s">
        <v>55</v>
      </c>
      <c r="O12" t="s">
        <v>56</v>
      </c>
      <c r="P12" t="s">
        <v>48</v>
      </c>
      <c r="Q12" t="s">
        <v>49</v>
      </c>
      <c r="S12" s="72" t="s">
        <v>57</v>
      </c>
      <c r="T12" s="73" t="s">
        <v>24</v>
      </c>
      <c r="U12" s="73" t="s">
        <v>24</v>
      </c>
      <c r="V12" s="74" t="s">
        <v>25</v>
      </c>
      <c r="W12" s="64"/>
      <c r="X12" s="64" t="str">
        <f>S12</f>
        <v>Climate Zones</v>
      </c>
      <c r="Y12" s="64" t="s">
        <v>58</v>
      </c>
      <c r="Z12" s="64" t="s">
        <v>59</v>
      </c>
      <c r="AA12" s="64" t="s">
        <v>60</v>
      </c>
      <c r="AC12" t="str">
        <f>S12</f>
        <v>Climate Zones</v>
      </c>
      <c r="AD12" s="64" t="s">
        <v>58</v>
      </c>
      <c r="AE12" s="64" t="s">
        <v>59</v>
      </c>
      <c r="AF12" s="64" t="s">
        <v>60</v>
      </c>
      <c r="AG12" s="64"/>
      <c r="AH12" t="str">
        <f>S12</f>
        <v>Climate Zones</v>
      </c>
      <c r="AI12" s="64" t="s">
        <v>58</v>
      </c>
      <c r="AJ12" s="64" t="s">
        <v>59</v>
      </c>
      <c r="AK12" s="64" t="s">
        <v>60</v>
      </c>
    </row>
    <row r="13" spans="1:37" ht="23" customHeight="1" x14ac:dyDescent="0.25">
      <c r="A13" s="134">
        <f>D13*(1+E13)^(2050-2018)</f>
        <v>4.582887562746174E-2</v>
      </c>
      <c r="B13">
        <v>1</v>
      </c>
      <c r="C13" s="371">
        <v>4.8300000000000001E-3</v>
      </c>
      <c r="D13" s="80">
        <f>C13*$D$7</f>
        <v>3.8939459999999995E-2</v>
      </c>
      <c r="E13" s="393">
        <v>5.1038000000000004E-3</v>
      </c>
      <c r="F13" s="17">
        <v>0.6</v>
      </c>
      <c r="G13" s="18">
        <v>0.4</v>
      </c>
      <c r="H13" s="385">
        <f>D13*(1+E13)^31</f>
        <v>4.5596161936171893E-2</v>
      </c>
      <c r="I13" s="19">
        <v>0</v>
      </c>
      <c r="J13" s="18"/>
      <c r="K13" s="346">
        <v>75</v>
      </c>
      <c r="L13" s="18"/>
      <c r="M13">
        <v>1</v>
      </c>
      <c r="S13" s="17">
        <v>1</v>
      </c>
      <c r="T13" s="75">
        <f>1/13</f>
        <v>7.6923076923076927E-2</v>
      </c>
      <c r="U13" s="75">
        <f>1/13</f>
        <v>7.6923076923076927E-2</v>
      </c>
      <c r="V13" s="76">
        <f>1/19</f>
        <v>5.2631578947368418E-2</v>
      </c>
      <c r="X13" s="64">
        <f t="shared" ref="X13:X28" si="0">S13</f>
        <v>1</v>
      </c>
      <c r="AC13">
        <f t="shared" ref="AC13:AC28" si="1">S13</f>
        <v>1</v>
      </c>
      <c r="AH13">
        <f t="shared" ref="AH13:AH28" si="2">S13</f>
        <v>1</v>
      </c>
    </row>
    <row r="14" spans="1:37" ht="37" customHeight="1" x14ac:dyDescent="0.25">
      <c r="A14" s="134">
        <f t="shared" ref="A14:A24" si="3">D14*(1+E14)^(2050-2018)</f>
        <v>0.23350903295897171</v>
      </c>
      <c r="B14">
        <v>2</v>
      </c>
      <c r="C14" s="371">
        <v>2.461E-2</v>
      </c>
      <c r="D14" s="81">
        <f t="shared" ref="D14:D28" si="4">C14*$D$7</f>
        <v>0.19840581999999998</v>
      </c>
      <c r="E14" s="393">
        <v>5.1038000000000004E-3</v>
      </c>
      <c r="F14" s="17">
        <v>0.6</v>
      </c>
      <c r="G14" s="18">
        <v>0.4</v>
      </c>
      <c r="H14" s="385">
        <f t="shared" ref="H14:H28" si="5">D14*(1+E14)^31</f>
        <v>0.23232330129382822</v>
      </c>
      <c r="I14" s="19"/>
      <c r="J14" s="18"/>
      <c r="K14" s="346">
        <v>75</v>
      </c>
      <c r="L14" s="18"/>
      <c r="M14">
        <v>2</v>
      </c>
      <c r="S14" s="77">
        <v>2</v>
      </c>
      <c r="T14" s="75">
        <f t="shared" ref="T14:U28" si="6">1/13</f>
        <v>7.6923076923076927E-2</v>
      </c>
      <c r="U14" s="75">
        <f t="shared" si="6"/>
        <v>7.6923076923076927E-2</v>
      </c>
      <c r="V14" s="76">
        <f t="shared" ref="V14:V28" si="7">1/19</f>
        <v>5.2631578947368418E-2</v>
      </c>
      <c r="X14" s="64">
        <f t="shared" si="0"/>
        <v>2</v>
      </c>
      <c r="AC14">
        <f t="shared" si="1"/>
        <v>2</v>
      </c>
      <c r="AH14">
        <f t="shared" si="2"/>
        <v>2</v>
      </c>
    </row>
    <row r="15" spans="1:37" ht="37" customHeight="1" x14ac:dyDescent="0.25">
      <c r="A15" s="134">
        <f t="shared" si="3"/>
        <v>0.96202685297481272</v>
      </c>
      <c r="B15">
        <v>3</v>
      </c>
      <c r="C15" s="371">
        <v>0.10138999999999999</v>
      </c>
      <c r="D15" s="81">
        <f t="shared" si="4"/>
        <v>0.81740617999999987</v>
      </c>
      <c r="E15" s="393">
        <v>5.1038000000000004E-3</v>
      </c>
      <c r="F15" s="17">
        <v>0.6</v>
      </c>
      <c r="G15" s="18">
        <v>0.4</v>
      </c>
      <c r="H15" s="385">
        <f t="shared" si="5"/>
        <v>0.9571417926932646</v>
      </c>
      <c r="I15" s="19"/>
      <c r="J15" s="18"/>
      <c r="K15" s="346">
        <v>75</v>
      </c>
      <c r="L15" s="18"/>
      <c r="M15">
        <v>3</v>
      </c>
      <c r="S15" s="77">
        <v>3</v>
      </c>
      <c r="T15" s="75">
        <f t="shared" si="6"/>
        <v>7.6923076923076927E-2</v>
      </c>
      <c r="U15" s="75">
        <f t="shared" si="6"/>
        <v>7.6923076923076927E-2</v>
      </c>
      <c r="V15" s="76">
        <f t="shared" si="7"/>
        <v>5.2631578947368418E-2</v>
      </c>
      <c r="X15" s="64">
        <f t="shared" si="0"/>
        <v>3</v>
      </c>
      <c r="AC15">
        <f t="shared" si="1"/>
        <v>3</v>
      </c>
      <c r="AH15">
        <f t="shared" si="2"/>
        <v>3</v>
      </c>
    </row>
    <row r="16" spans="1:37" ht="37" customHeight="1" x14ac:dyDescent="0.25">
      <c r="A16" s="134">
        <f t="shared" si="3"/>
        <v>0.5050664699067885</v>
      </c>
      <c r="B16">
        <v>4</v>
      </c>
      <c r="C16" s="371">
        <v>5.323E-2</v>
      </c>
      <c r="D16" s="81">
        <f t="shared" si="4"/>
        <v>0.42914025999999994</v>
      </c>
      <c r="E16" s="393">
        <v>5.1038000000000004E-3</v>
      </c>
      <c r="F16" s="17">
        <v>0.6</v>
      </c>
      <c r="G16" s="18">
        <v>0.4</v>
      </c>
      <c r="H16" s="385">
        <f t="shared" si="5"/>
        <v>0.50250180121375354</v>
      </c>
      <c r="I16" s="19"/>
      <c r="J16" s="18"/>
      <c r="K16" s="346">
        <v>75</v>
      </c>
      <c r="L16" s="18"/>
      <c r="M16">
        <v>4</v>
      </c>
      <c r="S16" s="17">
        <v>4</v>
      </c>
      <c r="T16" s="75">
        <f t="shared" si="6"/>
        <v>7.6923076923076927E-2</v>
      </c>
      <c r="U16" s="75">
        <f t="shared" si="6"/>
        <v>7.6923076923076927E-2</v>
      </c>
      <c r="V16" s="76">
        <f t="shared" si="7"/>
        <v>5.2631578947368418E-2</v>
      </c>
      <c r="X16" s="64">
        <f t="shared" si="0"/>
        <v>4</v>
      </c>
      <c r="AC16">
        <f t="shared" si="1"/>
        <v>4</v>
      </c>
      <c r="AH16">
        <f t="shared" si="2"/>
        <v>4</v>
      </c>
    </row>
    <row r="17" spans="1:34" ht="40" customHeight="1" x14ac:dyDescent="0.25">
      <c r="A17" s="134">
        <f t="shared" si="3"/>
        <v>0.11813033158631442</v>
      </c>
      <c r="B17">
        <v>5</v>
      </c>
      <c r="C17" s="371">
        <v>1.2449999999999999E-2</v>
      </c>
      <c r="D17" s="81">
        <f t="shared" si="4"/>
        <v>0.10037189999999999</v>
      </c>
      <c r="E17" s="393">
        <v>5.1038000000000004E-3</v>
      </c>
      <c r="F17" s="17">
        <v>0.6</v>
      </c>
      <c r="G17" s="18">
        <v>0.4</v>
      </c>
      <c r="H17" s="385">
        <f t="shared" si="5"/>
        <v>0.11753047952491513</v>
      </c>
      <c r="I17" s="19"/>
      <c r="J17" s="18"/>
      <c r="K17" s="346">
        <v>75</v>
      </c>
      <c r="L17" s="18"/>
      <c r="M17">
        <v>5</v>
      </c>
      <c r="S17" s="77">
        <v>5</v>
      </c>
      <c r="T17" s="75">
        <f t="shared" si="6"/>
        <v>7.6923076923076927E-2</v>
      </c>
      <c r="U17" s="75">
        <f t="shared" si="6"/>
        <v>7.6923076923076927E-2</v>
      </c>
      <c r="V17" s="76">
        <f t="shared" si="7"/>
        <v>5.2631578947368418E-2</v>
      </c>
      <c r="X17" s="64">
        <f t="shared" si="0"/>
        <v>5</v>
      </c>
      <c r="AC17">
        <f t="shared" si="1"/>
        <v>5</v>
      </c>
      <c r="AH17">
        <f t="shared" si="2"/>
        <v>5</v>
      </c>
    </row>
    <row r="18" spans="1:34" ht="50" customHeight="1" x14ac:dyDescent="0.25">
      <c r="A18" s="134">
        <f t="shared" si="3"/>
        <v>0.72927689041960853</v>
      </c>
      <c r="B18">
        <v>6</v>
      </c>
      <c r="C18" s="371">
        <v>7.6859999999999998E-2</v>
      </c>
      <c r="D18" s="81">
        <f t="shared" si="4"/>
        <v>0.61964531999999994</v>
      </c>
      <c r="E18" s="393">
        <v>5.1038000000000004E-3</v>
      </c>
      <c r="F18" s="17">
        <v>0.6</v>
      </c>
      <c r="G18" s="18">
        <v>0.4</v>
      </c>
      <c r="H18" s="385">
        <f t="shared" si="5"/>
        <v>0.72557370733212667</v>
      </c>
      <c r="I18" s="19"/>
      <c r="J18" s="18"/>
      <c r="K18" s="346">
        <v>75</v>
      </c>
      <c r="L18" s="18"/>
      <c r="M18">
        <v>6</v>
      </c>
      <c r="S18" s="77">
        <v>6</v>
      </c>
      <c r="T18" s="75">
        <f t="shared" si="6"/>
        <v>7.6923076923076927E-2</v>
      </c>
      <c r="U18" s="75">
        <f t="shared" si="6"/>
        <v>7.6923076923076927E-2</v>
      </c>
      <c r="V18" s="76">
        <f t="shared" si="7"/>
        <v>5.2631578947368418E-2</v>
      </c>
      <c r="X18" s="64">
        <f t="shared" si="0"/>
        <v>6</v>
      </c>
      <c r="AC18">
        <f t="shared" si="1"/>
        <v>6</v>
      </c>
      <c r="AH18">
        <f t="shared" si="2"/>
        <v>6</v>
      </c>
    </row>
    <row r="19" spans="1:34" ht="33" customHeight="1" x14ac:dyDescent="0.25">
      <c r="A19" s="134">
        <f t="shared" si="3"/>
        <v>0.57091582743361757</v>
      </c>
      <c r="B19">
        <v>7</v>
      </c>
      <c r="C19" s="371">
        <v>6.0170000000000001E-2</v>
      </c>
      <c r="D19" s="81">
        <f t="shared" si="4"/>
        <v>0.48509053999999996</v>
      </c>
      <c r="E19" s="393">
        <v>5.1038000000000004E-3</v>
      </c>
      <c r="F19" s="17">
        <v>0.6</v>
      </c>
      <c r="G19" s="18">
        <v>0.4</v>
      </c>
      <c r="H19" s="385">
        <f t="shared" si="5"/>
        <v>0.56801678337463002</v>
      </c>
      <c r="I19" s="19"/>
      <c r="J19" s="18"/>
      <c r="K19" s="346">
        <v>75</v>
      </c>
      <c r="L19" s="18"/>
      <c r="M19">
        <v>7</v>
      </c>
      <c r="S19" s="17">
        <v>7</v>
      </c>
      <c r="T19" s="75">
        <f t="shared" si="6"/>
        <v>7.6923076923076927E-2</v>
      </c>
      <c r="U19" s="75">
        <f t="shared" si="6"/>
        <v>7.6923076923076927E-2</v>
      </c>
      <c r="V19" s="76">
        <f t="shared" si="7"/>
        <v>5.2631578947368418E-2</v>
      </c>
      <c r="X19" s="64">
        <f t="shared" si="0"/>
        <v>7</v>
      </c>
      <c r="AC19">
        <f t="shared" si="1"/>
        <v>7</v>
      </c>
      <c r="AH19">
        <f t="shared" si="2"/>
        <v>7</v>
      </c>
    </row>
    <row r="20" spans="1:34" ht="19" x14ac:dyDescent="0.25">
      <c r="A20" s="134">
        <f t="shared" si="3"/>
        <v>1.174281914628295</v>
      </c>
      <c r="B20">
        <v>8</v>
      </c>
      <c r="C20" s="371">
        <v>0.12376</v>
      </c>
      <c r="D20" s="81">
        <f t="shared" si="4"/>
        <v>0.99775311999999994</v>
      </c>
      <c r="E20" s="393">
        <v>5.1038000000000004E-3</v>
      </c>
      <c r="F20" s="17">
        <v>0.6</v>
      </c>
      <c r="G20" s="18">
        <v>0.4</v>
      </c>
      <c r="H20" s="385">
        <f t="shared" si="5"/>
        <v>1.1683190478717669</v>
      </c>
      <c r="I20" s="19"/>
      <c r="J20" s="18"/>
      <c r="K20" s="346">
        <v>75</v>
      </c>
      <c r="L20" s="18"/>
      <c r="M20">
        <v>8</v>
      </c>
      <c r="S20" s="77">
        <v>8</v>
      </c>
      <c r="T20" s="75">
        <f t="shared" si="6"/>
        <v>7.6923076923076927E-2</v>
      </c>
      <c r="U20" s="75">
        <f t="shared" si="6"/>
        <v>7.6923076923076927E-2</v>
      </c>
      <c r="V20" s="76">
        <f t="shared" si="7"/>
        <v>5.2631578947368418E-2</v>
      </c>
      <c r="X20" s="64">
        <f t="shared" si="0"/>
        <v>8</v>
      </c>
      <c r="AC20">
        <f t="shared" si="1"/>
        <v>8</v>
      </c>
      <c r="AH20">
        <f t="shared" si="2"/>
        <v>8</v>
      </c>
    </row>
    <row r="21" spans="1:34" ht="19" x14ac:dyDescent="0.25">
      <c r="A21" s="134">
        <f t="shared" si="3"/>
        <v>1.5171919695302549</v>
      </c>
      <c r="B21">
        <v>9</v>
      </c>
      <c r="C21" s="371">
        <v>0.15989999999999999</v>
      </c>
      <c r="D21" s="81">
        <f t="shared" si="4"/>
        <v>1.2891137999999998</v>
      </c>
      <c r="E21" s="393">
        <v>5.1038000000000004E-3</v>
      </c>
      <c r="F21" s="17">
        <v>0.6</v>
      </c>
      <c r="G21" s="18">
        <v>0.4</v>
      </c>
      <c r="H21" s="385">
        <f t="shared" si="5"/>
        <v>1.5094878454645726</v>
      </c>
      <c r="I21" s="19"/>
      <c r="J21" s="18"/>
      <c r="K21" s="346">
        <v>75</v>
      </c>
      <c r="L21" s="18"/>
      <c r="M21">
        <v>9</v>
      </c>
      <c r="S21" s="77">
        <v>9</v>
      </c>
      <c r="T21" s="75">
        <f t="shared" si="6"/>
        <v>7.6923076923076927E-2</v>
      </c>
      <c r="U21" s="75">
        <f t="shared" si="6"/>
        <v>7.6923076923076927E-2</v>
      </c>
      <c r="V21" s="76">
        <f t="shared" si="7"/>
        <v>5.2631578947368418E-2</v>
      </c>
      <c r="X21" s="64">
        <f t="shared" si="0"/>
        <v>9</v>
      </c>
      <c r="AC21">
        <f t="shared" si="1"/>
        <v>9</v>
      </c>
      <c r="AH21">
        <f t="shared" si="2"/>
        <v>9</v>
      </c>
    </row>
    <row r="22" spans="1:34" ht="20" customHeight="1" x14ac:dyDescent="0.25">
      <c r="A22" s="134">
        <f t="shared" si="3"/>
        <v>1.0200008550625543</v>
      </c>
      <c r="B22">
        <v>10</v>
      </c>
      <c r="C22" s="371">
        <v>0.1075</v>
      </c>
      <c r="D22" s="81">
        <f t="shared" si="4"/>
        <v>0.86666499999999991</v>
      </c>
      <c r="E22" s="393">
        <v>5.1038000000000004E-3</v>
      </c>
      <c r="F22" s="17">
        <v>0.6</v>
      </c>
      <c r="G22" s="18">
        <v>0.4</v>
      </c>
      <c r="H22" s="385">
        <f t="shared" si="5"/>
        <v>1.0148214095524801</v>
      </c>
      <c r="I22" s="19"/>
      <c r="J22" s="18"/>
      <c r="K22" s="346">
        <v>75</v>
      </c>
      <c r="L22" s="18"/>
      <c r="M22">
        <v>10</v>
      </c>
      <c r="S22" s="17">
        <v>10</v>
      </c>
      <c r="T22" s="75">
        <f t="shared" si="6"/>
        <v>7.6923076923076927E-2</v>
      </c>
      <c r="U22" s="75">
        <f t="shared" si="6"/>
        <v>7.6923076923076927E-2</v>
      </c>
      <c r="V22" s="76">
        <f t="shared" si="7"/>
        <v>5.2631578947368418E-2</v>
      </c>
      <c r="X22" s="64">
        <f t="shared" si="0"/>
        <v>10</v>
      </c>
      <c r="AC22">
        <f t="shared" si="1"/>
        <v>10</v>
      </c>
      <c r="AH22">
        <f t="shared" si="2"/>
        <v>10</v>
      </c>
    </row>
    <row r="23" spans="1:34" ht="30" customHeight="1" x14ac:dyDescent="0.25">
      <c r="A23" s="134">
        <f t="shared" si="3"/>
        <v>0.27022906374122369</v>
      </c>
      <c r="B23">
        <v>11</v>
      </c>
      <c r="C23" s="371">
        <v>2.8479999999999998E-2</v>
      </c>
      <c r="D23" s="81">
        <f t="shared" si="4"/>
        <v>0.22960575999999996</v>
      </c>
      <c r="E23" s="393">
        <v>5.1038000000000004E-3</v>
      </c>
      <c r="F23" s="17">
        <v>0.6</v>
      </c>
      <c r="G23" s="18">
        <v>0.4</v>
      </c>
      <c r="H23" s="385">
        <f t="shared" si="5"/>
        <v>0.26885687203771752</v>
      </c>
      <c r="I23" s="19"/>
      <c r="J23" s="18"/>
      <c r="K23" s="346">
        <v>75</v>
      </c>
      <c r="L23" s="18"/>
      <c r="M23">
        <v>11</v>
      </c>
      <c r="S23" s="77">
        <v>11</v>
      </c>
      <c r="T23" s="75">
        <f t="shared" si="6"/>
        <v>7.6923076923076927E-2</v>
      </c>
      <c r="U23" s="75">
        <f t="shared" si="6"/>
        <v>7.6923076923076927E-2</v>
      </c>
      <c r="V23" s="76">
        <f t="shared" si="7"/>
        <v>5.2631578947368418E-2</v>
      </c>
      <c r="X23" s="64">
        <f t="shared" si="0"/>
        <v>11</v>
      </c>
      <c r="AC23">
        <f t="shared" si="1"/>
        <v>11</v>
      </c>
      <c r="AH23">
        <f t="shared" si="2"/>
        <v>11</v>
      </c>
    </row>
    <row r="24" spans="1:34" ht="22" customHeight="1" x14ac:dyDescent="0.25">
      <c r="A24" s="134">
        <f t="shared" si="3"/>
        <v>1.1862372734876327</v>
      </c>
      <c r="B24">
        <v>12</v>
      </c>
      <c r="C24" s="371">
        <v>0.12501999999999999</v>
      </c>
      <c r="D24" s="81">
        <f t="shared" si="4"/>
        <v>1.0079112399999999</v>
      </c>
      <c r="E24" s="393">
        <v>5.1038000000000004E-3</v>
      </c>
      <c r="F24" s="17">
        <v>0.6</v>
      </c>
      <c r="G24" s="18">
        <v>0.4</v>
      </c>
      <c r="H24" s="385">
        <f t="shared" si="5"/>
        <v>1.1802136988116376</v>
      </c>
      <c r="I24" s="19"/>
      <c r="J24" s="18"/>
      <c r="K24" s="346">
        <v>50</v>
      </c>
      <c r="L24" s="18"/>
      <c r="M24">
        <v>12</v>
      </c>
      <c r="S24" s="77">
        <v>12</v>
      </c>
      <c r="T24" s="75">
        <f t="shared" si="6"/>
        <v>7.6923076923076927E-2</v>
      </c>
      <c r="U24" s="75">
        <f t="shared" si="6"/>
        <v>7.6923076923076927E-2</v>
      </c>
      <c r="V24" s="76">
        <f t="shared" si="7"/>
        <v>5.2631578947368418E-2</v>
      </c>
      <c r="X24" s="64">
        <f t="shared" si="0"/>
        <v>12</v>
      </c>
      <c r="AC24">
        <f t="shared" si="1"/>
        <v>12</v>
      </c>
      <c r="AH24">
        <f t="shared" si="2"/>
        <v>12</v>
      </c>
    </row>
    <row r="25" spans="1:34" ht="22" customHeight="1" x14ac:dyDescent="0.25">
      <c r="A25" s="134">
        <f>D25*(1+E25)^(2050-2018)</f>
        <v>0.59691398876265389</v>
      </c>
      <c r="B25">
        <v>13</v>
      </c>
      <c r="C25" s="371">
        <v>6.2909999999999994E-2</v>
      </c>
      <c r="D25" s="81">
        <f t="shared" si="4"/>
        <v>0.50718041999999997</v>
      </c>
      <c r="E25" s="393">
        <v>5.1038000000000004E-3</v>
      </c>
      <c r="F25" s="17">
        <v>0.6</v>
      </c>
      <c r="G25" s="18">
        <v>0.4</v>
      </c>
      <c r="H25" s="385">
        <f t="shared" si="5"/>
        <v>0.59388292906926998</v>
      </c>
      <c r="I25" s="19"/>
      <c r="J25" s="18"/>
      <c r="K25" s="346">
        <v>75</v>
      </c>
      <c r="L25" s="18"/>
      <c r="M25">
        <v>13</v>
      </c>
      <c r="S25" s="17">
        <v>13</v>
      </c>
      <c r="T25" s="75">
        <f t="shared" si="6"/>
        <v>7.6923076923076927E-2</v>
      </c>
      <c r="U25" s="75">
        <f t="shared" si="6"/>
        <v>7.6923076923076927E-2</v>
      </c>
      <c r="V25" s="76">
        <f t="shared" si="7"/>
        <v>5.2631578947368418E-2</v>
      </c>
      <c r="X25" s="64">
        <f t="shared" si="0"/>
        <v>13</v>
      </c>
      <c r="AC25">
        <f t="shared" si="1"/>
        <v>13</v>
      </c>
      <c r="AH25">
        <f t="shared" si="2"/>
        <v>13</v>
      </c>
    </row>
    <row r="26" spans="1:34" ht="18" customHeight="1" x14ac:dyDescent="0.25">
      <c r="A26" s="134">
        <f>D26*(1+E26)^(2050-2018)</f>
        <v>0.2245899557147038</v>
      </c>
      <c r="B26">
        <v>14</v>
      </c>
      <c r="C26" s="371">
        <v>2.367E-2</v>
      </c>
      <c r="D26" s="81">
        <f t="shared" si="4"/>
        <v>0.19082753999999999</v>
      </c>
      <c r="E26" s="393">
        <v>5.1038000000000004E-3</v>
      </c>
      <c r="F26" s="17">
        <v>0.6</v>
      </c>
      <c r="G26" s="18">
        <v>0.4</v>
      </c>
      <c r="H26" s="385">
        <f t="shared" si="5"/>
        <v>0.22344951408471816</v>
      </c>
      <c r="I26" s="19"/>
      <c r="J26" s="18"/>
      <c r="K26" s="346">
        <v>75</v>
      </c>
      <c r="L26" s="18"/>
      <c r="M26">
        <v>14</v>
      </c>
      <c r="S26" s="77">
        <v>14</v>
      </c>
      <c r="T26" s="75">
        <f t="shared" si="6"/>
        <v>7.6923076923076927E-2</v>
      </c>
      <c r="U26" s="75">
        <f t="shared" si="6"/>
        <v>7.6923076923076927E-2</v>
      </c>
      <c r="V26" s="76">
        <f t="shared" si="7"/>
        <v>5.2631578947368418E-2</v>
      </c>
      <c r="X26" s="64">
        <f t="shared" si="0"/>
        <v>14</v>
      </c>
      <c r="AC26">
        <f t="shared" si="1"/>
        <v>14</v>
      </c>
      <c r="AH26">
        <f t="shared" si="2"/>
        <v>14</v>
      </c>
    </row>
    <row r="27" spans="1:34" ht="19" customHeight="1" x14ac:dyDescent="0.25">
      <c r="A27" s="134">
        <f>D27*(1+E27)^(2050-2018)</f>
        <v>0.1669954888288461</v>
      </c>
      <c r="B27">
        <v>15</v>
      </c>
      <c r="C27" s="371">
        <v>1.7600000000000001E-2</v>
      </c>
      <c r="D27" s="81">
        <f t="shared" si="4"/>
        <v>0.1418912</v>
      </c>
      <c r="E27" s="393">
        <v>5.1038000000000004E-3</v>
      </c>
      <c r="F27" s="17">
        <v>0.6</v>
      </c>
      <c r="G27" s="18">
        <v>0.4</v>
      </c>
      <c r="H27" s="385">
        <f t="shared" si="5"/>
        <v>0.1661475051918479</v>
      </c>
      <c r="I27" s="19"/>
      <c r="J27" s="18"/>
      <c r="K27" s="346">
        <v>75</v>
      </c>
      <c r="L27" s="18"/>
      <c r="M27">
        <v>15</v>
      </c>
      <c r="S27" s="77">
        <v>15</v>
      </c>
      <c r="T27" s="75">
        <f t="shared" si="6"/>
        <v>7.6923076923076927E-2</v>
      </c>
      <c r="U27" s="75">
        <f t="shared" si="6"/>
        <v>7.6923076923076927E-2</v>
      </c>
      <c r="V27" s="76">
        <f t="shared" si="7"/>
        <v>5.2631578947368418E-2</v>
      </c>
      <c r="X27" s="64">
        <f t="shared" si="0"/>
        <v>15</v>
      </c>
      <c r="AC27">
        <f t="shared" si="1"/>
        <v>15</v>
      </c>
      <c r="AH27">
        <f t="shared" si="2"/>
        <v>15</v>
      </c>
    </row>
    <row r="28" spans="1:34" ht="23" customHeight="1" x14ac:dyDescent="0.25">
      <c r="A28" s="134">
        <f>D28*(1+E28)^(2050-2018)</f>
        <v>0.16728014023025889</v>
      </c>
      <c r="B28">
        <v>16</v>
      </c>
      <c r="C28" s="371">
        <v>1.763E-2</v>
      </c>
      <c r="D28" s="80">
        <f t="shared" si="4"/>
        <v>0.14213305999999998</v>
      </c>
      <c r="E28" s="393">
        <v>5.1038000000000004E-3</v>
      </c>
      <c r="F28" s="17">
        <v>0.6</v>
      </c>
      <c r="G28" s="18">
        <v>0.4</v>
      </c>
      <c r="H28" s="385">
        <f t="shared" si="5"/>
        <v>0.16643071116660671</v>
      </c>
      <c r="I28" s="45"/>
      <c r="J28" s="18"/>
      <c r="K28" s="346">
        <v>75</v>
      </c>
      <c r="L28" s="18"/>
      <c r="M28">
        <v>16</v>
      </c>
      <c r="S28" s="43">
        <v>16</v>
      </c>
      <c r="T28" s="78">
        <f t="shared" si="6"/>
        <v>7.6923076923076927E-2</v>
      </c>
      <c r="U28" s="78">
        <f t="shared" si="6"/>
        <v>7.6923076923076927E-2</v>
      </c>
      <c r="V28" s="79">
        <f t="shared" si="7"/>
        <v>5.2631578947368418E-2</v>
      </c>
      <c r="X28" s="64">
        <f t="shared" si="0"/>
        <v>16</v>
      </c>
      <c r="AC28">
        <f t="shared" si="1"/>
        <v>16</v>
      </c>
      <c r="AH28">
        <f t="shared" si="2"/>
        <v>16</v>
      </c>
    </row>
    <row r="29" spans="1:34" x14ac:dyDescent="0.2">
      <c r="A29" s="134">
        <f>SUM(A13:A28)</f>
        <v>9.4884749308940002</v>
      </c>
      <c r="C29" s="134">
        <f>SUM(C13:C28)</f>
        <v>1.0000099999999998</v>
      </c>
      <c r="D29" s="134">
        <f>SUM(D13:D28)</f>
        <v>8.0620806199999997</v>
      </c>
      <c r="E29" s="134">
        <f>SUM(E13:E28)</f>
        <v>8.1660800000000006E-2</v>
      </c>
      <c r="S29" s="64"/>
    </row>
    <row r="30" spans="1:34" x14ac:dyDescent="0.2">
      <c r="S30" s="64"/>
    </row>
    <row r="31" spans="1:34" ht="19" x14ac:dyDescent="0.25">
      <c r="C31" s="351">
        <f>C15+C18+C20+C21+C22+C24</f>
        <v>0.69442999999999999</v>
      </c>
      <c r="D31" s="351">
        <f>C15</f>
        <v>0.10138999999999999</v>
      </c>
      <c r="E31" s="344">
        <v>3</v>
      </c>
      <c r="F31" t="s">
        <v>636</v>
      </c>
      <c r="H31">
        <v>3</v>
      </c>
      <c r="I31" s="351">
        <f>D31</f>
        <v>0.10138999999999999</v>
      </c>
    </row>
    <row r="32" spans="1:34" ht="19" x14ac:dyDescent="0.25">
      <c r="C32" s="351">
        <f>C16+C19+C25</f>
        <v>0.17630999999999999</v>
      </c>
      <c r="D32" s="351">
        <f>C16</f>
        <v>5.323E-2</v>
      </c>
      <c r="E32" s="344">
        <v>4</v>
      </c>
      <c r="F32" t="s">
        <v>779</v>
      </c>
      <c r="H32">
        <v>6</v>
      </c>
      <c r="I32" s="351">
        <f>D33</f>
        <v>7.6859999999999998E-2</v>
      </c>
    </row>
    <row r="33" spans="1:38" ht="19" x14ac:dyDescent="0.25">
      <c r="C33" s="351">
        <f>C31+C32</f>
        <v>0.87073999999999996</v>
      </c>
      <c r="D33" s="351">
        <f>C18</f>
        <v>7.6859999999999998E-2</v>
      </c>
      <c r="E33" s="344">
        <v>6</v>
      </c>
      <c r="F33" t="s">
        <v>581</v>
      </c>
      <c r="H33">
        <v>9</v>
      </c>
      <c r="I33" s="351">
        <f>D36</f>
        <v>0.15989999999999999</v>
      </c>
    </row>
    <row r="34" spans="1:38" ht="19" x14ac:dyDescent="0.25">
      <c r="D34" s="351">
        <f>C19</f>
        <v>6.0170000000000001E-2</v>
      </c>
      <c r="E34" s="344">
        <v>7</v>
      </c>
      <c r="F34" t="s">
        <v>631</v>
      </c>
      <c r="H34">
        <v>12</v>
      </c>
      <c r="I34" s="351">
        <f>D38</f>
        <v>0.12501999999999999</v>
      </c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7" t="s">
        <v>61</v>
      </c>
      <c r="U34" s="8"/>
      <c r="V34" s="8"/>
      <c r="W34" s="8"/>
      <c r="X34" s="8"/>
      <c r="Y34" s="8"/>
      <c r="Z34" s="8"/>
      <c r="AA34" s="8"/>
      <c r="AB34" s="67" t="s">
        <v>61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2">
      <c r="B35" s="64"/>
      <c r="C35" s="64"/>
      <c r="D35" s="392">
        <f>C20</f>
        <v>0.12376</v>
      </c>
      <c r="E35" s="64">
        <v>8</v>
      </c>
      <c r="F35" t="s">
        <v>780</v>
      </c>
    </row>
    <row r="36" spans="1:38" x14ac:dyDescent="0.2">
      <c r="B36" t="s">
        <v>52</v>
      </c>
      <c r="C36" s="64"/>
      <c r="D36" s="392">
        <f>C21</f>
        <v>0.15989999999999999</v>
      </c>
      <c r="E36" s="64">
        <v>9</v>
      </c>
      <c r="F36" t="s">
        <v>781</v>
      </c>
      <c r="G36" t="s">
        <v>782</v>
      </c>
      <c r="I36" s="351">
        <f>SUM(I31:I34)</f>
        <v>0.46316999999999997</v>
      </c>
    </row>
    <row r="37" spans="1:38" x14ac:dyDescent="0.2">
      <c r="A37" s="64"/>
      <c r="B37">
        <v>1</v>
      </c>
      <c r="C37" s="64"/>
      <c r="D37" s="392">
        <f>C22</f>
        <v>0.1075</v>
      </c>
      <c r="E37" s="64">
        <v>10</v>
      </c>
      <c r="F37" t="s">
        <v>611</v>
      </c>
    </row>
    <row r="38" spans="1:38" x14ac:dyDescent="0.2">
      <c r="A38" s="64"/>
      <c r="B38">
        <v>2</v>
      </c>
      <c r="C38" s="64"/>
      <c r="D38" s="392">
        <f>C24</f>
        <v>0.12501999999999999</v>
      </c>
      <c r="E38" s="64">
        <v>12</v>
      </c>
      <c r="F38" t="s">
        <v>783</v>
      </c>
    </row>
    <row r="39" spans="1:38" x14ac:dyDescent="0.2">
      <c r="B39">
        <v>3</v>
      </c>
      <c r="C39" s="64"/>
      <c r="D39" s="392"/>
      <c r="E39" s="64"/>
    </row>
    <row r="40" spans="1:38" x14ac:dyDescent="0.2">
      <c r="B40">
        <v>4</v>
      </c>
      <c r="D40" s="351">
        <f>C13</f>
        <v>4.8300000000000001E-3</v>
      </c>
      <c r="E40">
        <v>1</v>
      </c>
    </row>
    <row r="41" spans="1:38" x14ac:dyDescent="0.2">
      <c r="A41" s="64"/>
      <c r="B41">
        <v>5</v>
      </c>
      <c r="C41" s="64"/>
      <c r="D41" s="351">
        <f>C14</f>
        <v>2.461E-2</v>
      </c>
      <c r="E41">
        <v>2</v>
      </c>
      <c r="J41">
        <v>203</v>
      </c>
      <c r="K41" t="s">
        <v>785</v>
      </c>
    </row>
    <row r="42" spans="1:38" x14ac:dyDescent="0.2">
      <c r="A42" s="64"/>
      <c r="B42">
        <v>6</v>
      </c>
      <c r="D42" s="351">
        <f>C28</f>
        <v>1.763E-2</v>
      </c>
      <c r="E42">
        <v>16</v>
      </c>
      <c r="J42">
        <v>3600</v>
      </c>
      <c r="K42" t="s">
        <v>784</v>
      </c>
    </row>
    <row r="43" spans="1:38" x14ac:dyDescent="0.2">
      <c r="B43">
        <v>7</v>
      </c>
      <c r="D43" s="351">
        <f>C27</f>
        <v>1.7600000000000001E-2</v>
      </c>
      <c r="E43">
        <v>15</v>
      </c>
    </row>
    <row r="44" spans="1:38" x14ac:dyDescent="0.2">
      <c r="B44">
        <v>8</v>
      </c>
      <c r="J44">
        <f>J42/J41</f>
        <v>17.733990147783253</v>
      </c>
    </row>
    <row r="45" spans="1:38" x14ac:dyDescent="0.2">
      <c r="B45">
        <v>9</v>
      </c>
    </row>
    <row r="46" spans="1:38" x14ac:dyDescent="0.2">
      <c r="B46">
        <v>10</v>
      </c>
      <c r="D46" s="351">
        <f>C17</f>
        <v>1.2449999999999999E-2</v>
      </c>
      <c r="E46" s="64">
        <v>5</v>
      </c>
    </row>
    <row r="47" spans="1:38" x14ac:dyDescent="0.2">
      <c r="B47">
        <v>11</v>
      </c>
      <c r="D47" s="351">
        <f>C23</f>
        <v>2.8479999999999998E-2</v>
      </c>
      <c r="E47">
        <v>11</v>
      </c>
    </row>
    <row r="48" spans="1:38" x14ac:dyDescent="0.2">
      <c r="B48">
        <v>12</v>
      </c>
      <c r="D48" s="351">
        <f>C25</f>
        <v>6.2909999999999994E-2</v>
      </c>
      <c r="E48">
        <v>13</v>
      </c>
    </row>
    <row r="49" spans="2:5" x14ac:dyDescent="0.2">
      <c r="B49">
        <v>13</v>
      </c>
      <c r="D49" s="351">
        <f>C26</f>
        <v>2.367E-2</v>
      </c>
      <c r="E49">
        <v>14</v>
      </c>
    </row>
    <row r="50" spans="2:5" x14ac:dyDescent="0.2">
      <c r="B50">
        <v>14</v>
      </c>
    </row>
    <row r="51" spans="2:5" x14ac:dyDescent="0.2">
      <c r="B51">
        <v>15</v>
      </c>
    </row>
    <row r="52" spans="2:5" x14ac:dyDescent="0.2">
      <c r="B52">
        <v>16</v>
      </c>
    </row>
    <row r="56" spans="2:5" x14ac:dyDescent="0.2">
      <c r="B56" t="s">
        <v>52</v>
      </c>
    </row>
    <row r="57" spans="2:5" x14ac:dyDescent="0.2">
      <c r="B57">
        <v>1</v>
      </c>
    </row>
    <row r="58" spans="2:5" x14ac:dyDescent="0.2">
      <c r="B58">
        <v>2</v>
      </c>
    </row>
    <row r="59" spans="2:5" x14ac:dyDescent="0.2">
      <c r="B59">
        <v>3</v>
      </c>
    </row>
    <row r="60" spans="2:5" x14ac:dyDescent="0.2">
      <c r="B60">
        <v>4</v>
      </c>
    </row>
    <row r="61" spans="2:5" x14ac:dyDescent="0.2">
      <c r="B61">
        <v>5</v>
      </c>
    </row>
    <row r="62" spans="2:5" x14ac:dyDescent="0.2">
      <c r="B62">
        <v>6</v>
      </c>
    </row>
    <row r="63" spans="2:5" x14ac:dyDescent="0.2">
      <c r="B63">
        <v>7</v>
      </c>
    </row>
    <row r="64" spans="2:5" x14ac:dyDescent="0.2">
      <c r="B64">
        <v>8</v>
      </c>
    </row>
    <row r="65" spans="2:2" x14ac:dyDescent="0.2">
      <c r="B65">
        <v>9</v>
      </c>
    </row>
    <row r="66" spans="2:2" x14ac:dyDescent="0.2">
      <c r="B66">
        <v>10</v>
      </c>
    </row>
    <row r="67" spans="2:2" x14ac:dyDescent="0.2">
      <c r="B67">
        <v>11</v>
      </c>
    </row>
    <row r="68" spans="2:2" x14ac:dyDescent="0.2">
      <c r="B68">
        <v>12</v>
      </c>
    </row>
    <row r="69" spans="2:2" x14ac:dyDescent="0.2">
      <c r="B69">
        <v>13</v>
      </c>
    </row>
    <row r="70" spans="2:2" x14ac:dyDescent="0.2">
      <c r="B70">
        <v>14</v>
      </c>
    </row>
    <row r="71" spans="2:2" x14ac:dyDescent="0.2">
      <c r="B71">
        <v>15</v>
      </c>
    </row>
    <row r="72" spans="2:2" x14ac:dyDescent="0.2">
      <c r="B72">
        <v>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A8" zoomScale="110" zoomScaleNormal="110" zoomScalePageLayoutView="110" workbookViewId="0">
      <selection activeCell="K31" sqref="K31"/>
    </sheetView>
  </sheetViews>
  <sheetFormatPr baseColWidth="10" defaultRowHeight="16" x14ac:dyDescent="0.2"/>
  <cols>
    <col min="6" max="6" width="13.83203125" bestFit="1" customWidth="1"/>
  </cols>
  <sheetData>
    <row r="1" spans="1:24" ht="21" x14ac:dyDescent="0.25">
      <c r="B1" s="161" t="s">
        <v>742</v>
      </c>
      <c r="C1" s="162">
        <f>HousingSpecs!D7</f>
        <v>8.0619999999999994</v>
      </c>
      <c r="D1" t="s">
        <v>743</v>
      </c>
    </row>
    <row r="2" spans="1:24" ht="20" x14ac:dyDescent="0.2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N2" t="s">
        <v>744</v>
      </c>
      <c r="R2" t="s">
        <v>759</v>
      </c>
      <c r="W2" s="367" t="s">
        <v>761</v>
      </c>
    </row>
    <row r="3" spans="1:24" x14ac:dyDescent="0.2">
      <c r="A3">
        <v>2</v>
      </c>
    </row>
    <row r="4" spans="1:24" ht="28" x14ac:dyDescent="0.3">
      <c r="A4">
        <v>3</v>
      </c>
      <c r="N4" t="s">
        <v>746</v>
      </c>
      <c r="R4" s="366" t="s">
        <v>760</v>
      </c>
    </row>
    <row r="5" spans="1:24" ht="64" x14ac:dyDescent="0.2">
      <c r="A5">
        <v>4</v>
      </c>
      <c r="B5" s="354" t="s">
        <v>19</v>
      </c>
      <c r="C5" s="355" t="s">
        <v>78</v>
      </c>
      <c r="D5" s="356" t="s">
        <v>77</v>
      </c>
      <c r="E5" s="357" t="s">
        <v>75</v>
      </c>
      <c r="F5" s="356" t="s">
        <v>76</v>
      </c>
      <c r="G5" s="140"/>
      <c r="H5" s="140">
        <v>0.5</v>
      </c>
      <c r="N5" t="s">
        <v>745</v>
      </c>
      <c r="S5" t="s">
        <v>755</v>
      </c>
      <c r="T5" t="s">
        <v>756</v>
      </c>
      <c r="X5" s="367" t="s">
        <v>761</v>
      </c>
    </row>
    <row r="6" spans="1:24" ht="18" x14ac:dyDescent="0.2">
      <c r="A6">
        <v>5</v>
      </c>
      <c r="B6" s="358">
        <v>1</v>
      </c>
      <c r="C6" s="359">
        <v>1</v>
      </c>
      <c r="D6" s="373">
        <f>I6-0.1</f>
        <v>0.31360097570244383</v>
      </c>
      <c r="E6" s="361">
        <v>1</v>
      </c>
      <c r="F6" s="386">
        <f>MIN(D6*(1+H6)^(2050-2019),1)</f>
        <v>0.38691611499558287</v>
      </c>
      <c r="G6" s="384">
        <f>(F6/D6)^(1/(2050-2018)) -1</f>
        <v>6.5868017085659591E-3</v>
      </c>
      <c r="H6" s="374">
        <v>6.7999999999999996E-3</v>
      </c>
      <c r="I6" s="373">
        <v>0.41360097570244381</v>
      </c>
      <c r="J6" s="360">
        <v>0.1</v>
      </c>
      <c r="P6">
        <v>2009</v>
      </c>
      <c r="S6">
        <v>2017</v>
      </c>
      <c r="T6">
        <v>2020</v>
      </c>
      <c r="U6" t="s">
        <v>766</v>
      </c>
      <c r="X6" s="368" t="s">
        <v>762</v>
      </c>
    </row>
    <row r="7" spans="1:24" ht="18" x14ac:dyDescent="0.2">
      <c r="B7" s="362">
        <v>2</v>
      </c>
      <c r="C7" s="359">
        <f>C6</f>
        <v>1</v>
      </c>
      <c r="D7" s="373">
        <f t="shared" ref="D7:D21" si="0">I7-0.1</f>
        <v>0.48100769010433664</v>
      </c>
      <c r="E7" s="361">
        <v>1</v>
      </c>
      <c r="F7" s="386">
        <f t="shared" ref="F7:F21" si="1">MIN(D7*(1+H7)^(2050-2019),1)</f>
        <v>0.59345997352622037</v>
      </c>
      <c r="G7" s="384">
        <f t="shared" ref="G7:G21" si="2">(F7/D7)^(1/(2050-2018)) -1</f>
        <v>6.5868017085659591E-3</v>
      </c>
      <c r="H7" s="374">
        <v>6.7999999999999996E-3</v>
      </c>
      <c r="I7" s="155">
        <v>0.58100769010433662</v>
      </c>
      <c r="J7" s="360">
        <v>0.1</v>
      </c>
      <c r="M7" t="s">
        <v>747</v>
      </c>
      <c r="P7">
        <v>36</v>
      </c>
      <c r="R7" s="368">
        <v>36</v>
      </c>
      <c r="S7">
        <v>36</v>
      </c>
      <c r="T7">
        <v>36</v>
      </c>
      <c r="U7" t="s">
        <v>768</v>
      </c>
      <c r="X7" s="369" t="s">
        <v>763</v>
      </c>
    </row>
    <row r="8" spans="1:24" s="145" customFormat="1" x14ac:dyDescent="0.2">
      <c r="A8" s="377"/>
      <c r="B8" s="358">
        <v>3</v>
      </c>
      <c r="C8" s="378">
        <f t="shared" ref="C8:C21" si="3">C7</f>
        <v>1</v>
      </c>
      <c r="D8" s="379">
        <f t="shared" si="0"/>
        <v>0.33399725301333105</v>
      </c>
      <c r="E8" s="380">
        <v>1</v>
      </c>
      <c r="F8" s="387">
        <f t="shared" si="1"/>
        <v>0.4120807317823269</v>
      </c>
      <c r="G8" s="384">
        <f t="shared" si="2"/>
        <v>6.5868017085659591E-3</v>
      </c>
      <c r="H8" s="382">
        <v>6.7999999999999996E-3</v>
      </c>
      <c r="I8" s="383">
        <v>0.43399725301333103</v>
      </c>
      <c r="J8" s="381">
        <v>0.1</v>
      </c>
      <c r="M8" s="145" t="s">
        <v>217</v>
      </c>
      <c r="P8" s="145">
        <v>11.4</v>
      </c>
      <c r="R8" s="145">
        <v>15</v>
      </c>
      <c r="S8" s="145">
        <v>16.5</v>
      </c>
      <c r="T8" s="145">
        <v>16.5</v>
      </c>
      <c r="W8" s="145">
        <v>3.4119999999999999</v>
      </c>
    </row>
    <row r="9" spans="1:24" x14ac:dyDescent="0.2">
      <c r="A9" s="58"/>
      <c r="B9" s="358">
        <v>4</v>
      </c>
      <c r="C9" s="359">
        <f t="shared" si="3"/>
        <v>1</v>
      </c>
      <c r="D9" s="373">
        <f t="shared" si="0"/>
        <v>0.4856431105602379</v>
      </c>
      <c r="E9" s="361">
        <v>1</v>
      </c>
      <c r="F9" s="386">
        <f t="shared" si="1"/>
        <v>0.59917908479540893</v>
      </c>
      <c r="G9" s="384">
        <f t="shared" si="2"/>
        <v>6.5868017085659591E-3</v>
      </c>
      <c r="H9" s="374">
        <v>6.7999999999999996E-3</v>
      </c>
      <c r="I9" s="155">
        <v>0.58564311056023788</v>
      </c>
      <c r="J9" s="360">
        <v>0.1</v>
      </c>
      <c r="M9" t="s">
        <v>749</v>
      </c>
      <c r="P9">
        <v>1750</v>
      </c>
      <c r="R9">
        <v>2650</v>
      </c>
      <c r="T9">
        <v>3200</v>
      </c>
      <c r="X9" s="370" t="s">
        <v>764</v>
      </c>
    </row>
    <row r="10" spans="1:24" x14ac:dyDescent="0.2">
      <c r="A10" s="58"/>
      <c r="B10" s="362">
        <v>5</v>
      </c>
      <c r="C10" s="359">
        <f t="shared" si="3"/>
        <v>1</v>
      </c>
      <c r="D10" s="373">
        <f t="shared" si="0"/>
        <v>0.40694956865012688</v>
      </c>
      <c r="E10" s="361">
        <v>1</v>
      </c>
      <c r="F10" s="386">
        <f t="shared" si="1"/>
        <v>0.50208818945332223</v>
      </c>
      <c r="G10" s="384">
        <f t="shared" si="2"/>
        <v>6.5868017085659591E-3</v>
      </c>
      <c r="H10" s="374">
        <v>6.7999999999999996E-3</v>
      </c>
      <c r="I10" s="155">
        <v>0.50694956865012686</v>
      </c>
      <c r="J10" s="360">
        <v>0.1</v>
      </c>
      <c r="M10" t="s">
        <v>750</v>
      </c>
      <c r="P10">
        <v>2150</v>
      </c>
      <c r="R10">
        <v>4000</v>
      </c>
      <c r="T10">
        <v>4650</v>
      </c>
    </row>
    <row r="11" spans="1:24" x14ac:dyDescent="0.2">
      <c r="A11" s="58"/>
      <c r="B11" s="358">
        <v>6</v>
      </c>
      <c r="C11" s="359">
        <f t="shared" si="3"/>
        <v>1</v>
      </c>
      <c r="D11" s="373">
        <f t="shared" si="0"/>
        <v>0.48345785609144731</v>
      </c>
      <c r="E11" s="361">
        <v>1</v>
      </c>
      <c r="F11" s="386">
        <f t="shared" si="1"/>
        <v>0.59648295106225546</v>
      </c>
      <c r="G11" s="384">
        <f t="shared" si="2"/>
        <v>6.5868017085659591E-3</v>
      </c>
      <c r="H11" s="374">
        <v>6.7999999999999996E-3</v>
      </c>
      <c r="I11" s="155">
        <v>0.58345785609144729</v>
      </c>
      <c r="J11" s="360">
        <v>0.5</v>
      </c>
    </row>
    <row r="12" spans="1:24" x14ac:dyDescent="0.2">
      <c r="A12" s="58"/>
      <c r="B12" s="358">
        <v>7</v>
      </c>
      <c r="C12" s="359">
        <f t="shared" si="3"/>
        <v>1</v>
      </c>
      <c r="D12" s="373">
        <f t="shared" si="0"/>
        <v>0.41734165288337222</v>
      </c>
      <c r="E12" s="361">
        <v>1</v>
      </c>
      <c r="F12" s="386">
        <f t="shared" si="1"/>
        <v>0.51490978495131989</v>
      </c>
      <c r="G12" s="384">
        <f t="shared" si="2"/>
        <v>6.5868017085659591E-3</v>
      </c>
      <c r="H12" s="374">
        <v>6.7999999999999996E-3</v>
      </c>
      <c r="I12" s="155">
        <v>0.51734165288337219</v>
      </c>
      <c r="J12" s="360">
        <v>0.5</v>
      </c>
      <c r="M12" t="s">
        <v>751</v>
      </c>
      <c r="P12" s="365" t="s">
        <v>752</v>
      </c>
      <c r="W12" t="s">
        <v>765</v>
      </c>
    </row>
    <row r="13" spans="1:24" x14ac:dyDescent="0.2">
      <c r="A13" s="58"/>
      <c r="B13" s="362">
        <v>8</v>
      </c>
      <c r="C13" s="359">
        <f t="shared" si="3"/>
        <v>1</v>
      </c>
      <c r="D13" s="373">
        <f t="shared" si="0"/>
        <v>0.54484406366102134</v>
      </c>
      <c r="E13" s="361">
        <v>1</v>
      </c>
      <c r="F13" s="386">
        <f t="shared" si="1"/>
        <v>0.67222032048188429</v>
      </c>
      <c r="G13" s="384">
        <f t="shared" si="2"/>
        <v>6.5868017085659591E-3</v>
      </c>
      <c r="H13" s="374">
        <v>6.7999999999999996E-3</v>
      </c>
      <c r="I13" s="155">
        <v>0.64484406366102132</v>
      </c>
      <c r="J13" s="360">
        <v>0.5</v>
      </c>
    </row>
    <row r="14" spans="1:24" x14ac:dyDescent="0.2">
      <c r="A14" s="58"/>
      <c r="B14" s="358">
        <v>9</v>
      </c>
      <c r="C14" s="359">
        <f t="shared" si="3"/>
        <v>1</v>
      </c>
      <c r="D14" s="373">
        <f t="shared" si="0"/>
        <v>0.66037357350174719</v>
      </c>
      <c r="E14" s="361">
        <v>1</v>
      </c>
      <c r="F14" s="386">
        <f t="shared" si="1"/>
        <v>0.81475887290440874</v>
      </c>
      <c r="G14" s="384">
        <f t="shared" si="2"/>
        <v>6.5868017085659591E-3</v>
      </c>
      <c r="H14" s="374">
        <v>6.7999999999999996E-3</v>
      </c>
      <c r="I14" s="155">
        <v>0.76037357350174717</v>
      </c>
      <c r="J14" s="360">
        <v>0.5</v>
      </c>
    </row>
    <row r="15" spans="1:24" x14ac:dyDescent="0.2">
      <c r="A15" s="58"/>
      <c r="B15" s="358">
        <v>10</v>
      </c>
      <c r="C15" s="359">
        <f t="shared" si="3"/>
        <v>1</v>
      </c>
      <c r="D15" s="373">
        <f t="shared" si="0"/>
        <v>0.67716302563756392</v>
      </c>
      <c r="E15" s="361">
        <v>1</v>
      </c>
      <c r="F15" s="386">
        <f t="shared" si="1"/>
        <v>0.83547344363794573</v>
      </c>
      <c r="G15" s="384">
        <f t="shared" si="2"/>
        <v>6.5868017085659591E-3</v>
      </c>
      <c r="H15" s="374">
        <v>6.7999999999999996E-3</v>
      </c>
      <c r="I15" s="155">
        <v>0.7771630256375639</v>
      </c>
      <c r="J15" s="360">
        <v>0.5</v>
      </c>
      <c r="P15" t="s">
        <v>769</v>
      </c>
    </row>
    <row r="16" spans="1:24" x14ac:dyDescent="0.2">
      <c r="A16" s="58"/>
      <c r="B16" s="362">
        <v>11</v>
      </c>
      <c r="C16" s="359">
        <f t="shared" si="3"/>
        <v>1</v>
      </c>
      <c r="D16" s="373">
        <f t="shared" si="0"/>
        <v>0.74409649804324551</v>
      </c>
      <c r="E16" s="361">
        <v>1</v>
      </c>
      <c r="F16" s="386">
        <f t="shared" si="1"/>
        <v>0.91805494405694632</v>
      </c>
      <c r="G16" s="384">
        <f t="shared" si="2"/>
        <v>6.5868017085659591E-3</v>
      </c>
      <c r="H16" s="374">
        <v>6.7999999999999996E-3</v>
      </c>
      <c r="I16" s="155">
        <v>0.84409649804324549</v>
      </c>
      <c r="J16" s="360">
        <v>0.5</v>
      </c>
      <c r="M16" t="s">
        <v>753</v>
      </c>
    </row>
    <row r="17" spans="1:21" x14ac:dyDescent="0.2">
      <c r="A17" s="58"/>
      <c r="B17" s="358">
        <v>12</v>
      </c>
      <c r="C17" s="359">
        <f t="shared" si="3"/>
        <v>1</v>
      </c>
      <c r="D17" s="373">
        <f t="shared" si="0"/>
        <v>0.67324361704976832</v>
      </c>
      <c r="E17" s="361">
        <v>1</v>
      </c>
      <c r="F17" s="386">
        <f t="shared" si="1"/>
        <v>0.83063773692347076</v>
      </c>
      <c r="G17" s="384">
        <f t="shared" si="2"/>
        <v>6.5868017085659591E-3</v>
      </c>
      <c r="H17" s="374">
        <v>6.7999999999999996E-3</v>
      </c>
      <c r="I17" s="155">
        <v>0.77324361704976829</v>
      </c>
      <c r="J17" s="360">
        <v>0.5</v>
      </c>
      <c r="R17" t="s">
        <v>748</v>
      </c>
      <c r="S17" t="s">
        <v>755</v>
      </c>
      <c r="T17" t="s">
        <v>748</v>
      </c>
      <c r="U17" t="s">
        <v>766</v>
      </c>
    </row>
    <row r="18" spans="1:21" x14ac:dyDescent="0.2">
      <c r="A18" s="58"/>
      <c r="B18" s="358">
        <v>13</v>
      </c>
      <c r="C18" s="359">
        <f t="shared" si="3"/>
        <v>1</v>
      </c>
      <c r="D18" s="373">
        <f t="shared" si="0"/>
        <v>0.650578196100977</v>
      </c>
      <c r="E18" s="361">
        <v>1</v>
      </c>
      <c r="F18" s="386">
        <f t="shared" si="1"/>
        <v>0.8026734852223959</v>
      </c>
      <c r="G18" s="384">
        <f t="shared" si="2"/>
        <v>6.5868017085659591E-3</v>
      </c>
      <c r="H18" s="374">
        <v>6.7999999999999996E-3</v>
      </c>
      <c r="I18" s="155">
        <v>0.75057819610097698</v>
      </c>
      <c r="J18" s="360">
        <v>0.5</v>
      </c>
      <c r="P18">
        <v>2009</v>
      </c>
      <c r="R18">
        <v>2017</v>
      </c>
      <c r="T18">
        <v>2020</v>
      </c>
      <c r="U18" t="s">
        <v>767</v>
      </c>
    </row>
    <row r="19" spans="1:21" x14ac:dyDescent="0.2">
      <c r="A19" s="58"/>
      <c r="B19" s="362">
        <v>14</v>
      </c>
      <c r="C19" s="359">
        <f t="shared" si="3"/>
        <v>1</v>
      </c>
      <c r="D19" s="373">
        <f t="shared" si="0"/>
        <v>0.68768035490016777</v>
      </c>
      <c r="E19" s="361">
        <v>1</v>
      </c>
      <c r="F19" s="386">
        <f t="shared" si="1"/>
        <v>0.84844956454860632</v>
      </c>
      <c r="G19" s="384">
        <f t="shared" si="2"/>
        <v>6.5868017085659591E-3</v>
      </c>
      <c r="H19" s="374">
        <v>6.7999999999999996E-3</v>
      </c>
      <c r="I19" s="155">
        <v>0.78768035490016775</v>
      </c>
      <c r="J19" s="360">
        <v>0.5</v>
      </c>
      <c r="M19" t="s">
        <v>747</v>
      </c>
      <c r="P19">
        <v>36</v>
      </c>
      <c r="R19">
        <v>36</v>
      </c>
      <c r="T19">
        <v>36</v>
      </c>
    </row>
    <row r="20" spans="1:21" x14ac:dyDescent="0.2">
      <c r="A20" s="58"/>
      <c r="B20" s="358">
        <v>15</v>
      </c>
      <c r="C20" s="359">
        <f t="shared" si="3"/>
        <v>1</v>
      </c>
      <c r="D20" s="373">
        <f t="shared" si="0"/>
        <v>0.71811736541359072</v>
      </c>
      <c r="E20" s="361">
        <v>1</v>
      </c>
      <c r="F20" s="386">
        <f t="shared" si="1"/>
        <v>0.88600228527453728</v>
      </c>
      <c r="G20" s="384">
        <f t="shared" si="2"/>
        <v>6.5868017085659591E-3</v>
      </c>
      <c r="H20" s="374">
        <v>6.7999999999999996E-3</v>
      </c>
      <c r="I20" s="155">
        <v>0.8181173654135907</v>
      </c>
      <c r="J20" s="360">
        <v>0.6</v>
      </c>
      <c r="M20" t="s">
        <v>217</v>
      </c>
      <c r="P20">
        <v>12</v>
      </c>
      <c r="R20" s="316">
        <v>18</v>
      </c>
      <c r="S20">
        <v>19.899999999999999</v>
      </c>
      <c r="T20">
        <v>19</v>
      </c>
    </row>
    <row r="21" spans="1:21" x14ac:dyDescent="0.2">
      <c r="A21" s="58"/>
      <c r="B21" s="358">
        <v>16</v>
      </c>
      <c r="C21" s="359">
        <f t="shared" si="3"/>
        <v>1</v>
      </c>
      <c r="D21" s="373">
        <f t="shared" si="0"/>
        <v>0.56472584765063127</v>
      </c>
      <c r="E21" s="364">
        <v>1</v>
      </c>
      <c r="F21" s="386">
        <f t="shared" si="1"/>
        <v>0.69675016323256578</v>
      </c>
      <c r="G21" s="384">
        <f t="shared" si="2"/>
        <v>6.5868017085659591E-3</v>
      </c>
      <c r="H21" s="374">
        <v>6.7999999999999996E-3</v>
      </c>
      <c r="I21" s="155">
        <v>0.66472584765063125</v>
      </c>
      <c r="J21" s="363">
        <v>0.1</v>
      </c>
      <c r="M21" t="s">
        <v>754</v>
      </c>
      <c r="P21">
        <v>7</v>
      </c>
      <c r="R21">
        <v>8.5</v>
      </c>
      <c r="S21" s="156">
        <v>10.3</v>
      </c>
      <c r="T21">
        <v>10</v>
      </c>
    </row>
    <row r="22" spans="1:21" x14ac:dyDescent="0.2">
      <c r="A22" s="58"/>
      <c r="B22" s="140"/>
      <c r="C22" s="360"/>
      <c r="D22" s="360"/>
      <c r="E22" s="360"/>
      <c r="F22" s="360"/>
      <c r="G22" s="140"/>
      <c r="H22" s="140"/>
    </row>
    <row r="23" spans="1:21" x14ac:dyDescent="0.2">
      <c r="A23" s="58"/>
      <c r="B23" s="20"/>
      <c r="C23" s="21"/>
      <c r="D23" s="22"/>
      <c r="E23" s="23"/>
      <c r="M23" t="s">
        <v>749</v>
      </c>
      <c r="P23">
        <v>2550</v>
      </c>
      <c r="R23">
        <v>3500</v>
      </c>
      <c r="S23">
        <v>4550</v>
      </c>
      <c r="T23">
        <v>4550</v>
      </c>
    </row>
    <row r="24" spans="1:21" ht="17" thickBot="1" x14ac:dyDescent="0.25">
      <c r="B24" s="47"/>
      <c r="C24" s="48"/>
      <c r="D24" s="2"/>
      <c r="M24" t="s">
        <v>750</v>
      </c>
      <c r="P24">
        <v>3000</v>
      </c>
      <c r="R24">
        <v>4950</v>
      </c>
      <c r="S24">
        <v>6100</v>
      </c>
      <c r="T24">
        <v>6100</v>
      </c>
    </row>
    <row r="25" spans="1:21" x14ac:dyDescent="0.2">
      <c r="C25" s="9"/>
      <c r="D25" s="134">
        <f>SUMPRODUCT(D6:D21,HousingSpecs!$C$13:$C$28)</f>
        <v>0.57138329331517723</v>
      </c>
      <c r="E25" s="9">
        <f>SUMPRODUCT(E6:E21,HousingSpecs!$C$13:$C$28)</f>
        <v>1.0000099999999998</v>
      </c>
      <c r="F25" s="9">
        <f>SUMPRODUCT(F6:F21,HousingSpecs!$C$13:$C$28)</f>
        <v>0.70496401845591306</v>
      </c>
      <c r="I25" s="9">
        <f>SUMPRODUCT(I6:I21,HousingSpecs!$C$13:$C$28)</f>
        <v>0.67138429331517735</v>
      </c>
    </row>
    <row r="26" spans="1:21" ht="64" x14ac:dyDescent="0.2">
      <c r="B26" s="354" t="s">
        <v>19</v>
      </c>
      <c r="C26" s="355" t="s">
        <v>78</v>
      </c>
      <c r="D26" s="356" t="s">
        <v>77</v>
      </c>
      <c r="E26" s="357" t="s">
        <v>75</v>
      </c>
      <c r="F26" s="356" t="s">
        <v>76</v>
      </c>
      <c r="M26" t="s">
        <v>757</v>
      </c>
      <c r="P26" t="s">
        <v>758</v>
      </c>
    </row>
    <row r="27" spans="1:21" x14ac:dyDescent="0.2">
      <c r="B27" s="358">
        <v>1</v>
      </c>
      <c r="C27" s="359">
        <v>1</v>
      </c>
      <c r="D27" s="373" t="e">
        <f>I27-0.1</f>
        <v>#VALUE!</v>
      </c>
      <c r="E27" s="361">
        <v>1</v>
      </c>
      <c r="F27" s="360" t="e">
        <f>MIN(D27*(1+H27)^(2050-2019),1)</f>
        <v>#VALUE!</v>
      </c>
      <c r="H27">
        <v>1</v>
      </c>
      <c r="I27" t="s">
        <v>814</v>
      </c>
      <c r="K27">
        <v>0.25</v>
      </c>
    </row>
    <row r="28" spans="1:21" x14ac:dyDescent="0.2">
      <c r="B28" s="362">
        <v>2</v>
      </c>
      <c r="C28" s="359">
        <f>C27</f>
        <v>1</v>
      </c>
      <c r="D28" s="373">
        <f t="shared" ref="D28:D42" si="4">I28-0.1</f>
        <v>-0.1</v>
      </c>
      <c r="E28" s="361">
        <v>1</v>
      </c>
      <c r="F28" s="360">
        <f t="shared" ref="F28:F42" si="5">MIN(D28*(1+H28)^(2050-2019),1)</f>
        <v>-0.1</v>
      </c>
    </row>
    <row r="29" spans="1:21" x14ac:dyDescent="0.2">
      <c r="B29" s="358">
        <v>3</v>
      </c>
      <c r="C29" s="359">
        <f t="shared" ref="C29:C42" si="6">C28</f>
        <v>1</v>
      </c>
      <c r="D29" s="373" t="e">
        <f t="shared" si="4"/>
        <v>#VALUE!</v>
      </c>
      <c r="E29" s="361">
        <v>1</v>
      </c>
      <c r="F29" s="360" t="e">
        <f t="shared" si="5"/>
        <v>#VALUE!</v>
      </c>
      <c r="H29">
        <v>1</v>
      </c>
      <c r="I29" t="s">
        <v>815</v>
      </c>
      <c r="K29">
        <v>1.3</v>
      </c>
      <c r="P29">
        <f>P8/$W$8</f>
        <v>3.3411488862837047</v>
      </c>
      <c r="Q29">
        <f>Q8/$W$8</f>
        <v>0</v>
      </c>
      <c r="R29">
        <f>R8/$W$8</f>
        <v>4.3962485345838216</v>
      </c>
      <c r="S29">
        <f>S8/$W$8</f>
        <v>4.835873388042204</v>
      </c>
      <c r="T29">
        <f>T8/$W$8</f>
        <v>4.835873388042204</v>
      </c>
    </row>
    <row r="30" spans="1:21" x14ac:dyDescent="0.2">
      <c r="B30" s="358">
        <v>4</v>
      </c>
      <c r="C30" s="359">
        <f t="shared" si="6"/>
        <v>1</v>
      </c>
      <c r="D30" s="373">
        <f t="shared" si="4"/>
        <v>-0.1</v>
      </c>
      <c r="E30" s="361">
        <v>1</v>
      </c>
      <c r="F30" s="360">
        <f t="shared" si="5"/>
        <v>-0.1</v>
      </c>
      <c r="K30">
        <f>K29/25000</f>
        <v>5.2000000000000004E-5</v>
      </c>
    </row>
    <row r="31" spans="1:21" x14ac:dyDescent="0.2">
      <c r="B31" s="362">
        <v>5</v>
      </c>
      <c r="C31" s="359">
        <f t="shared" si="6"/>
        <v>1</v>
      </c>
      <c r="D31" s="373">
        <f t="shared" si="4"/>
        <v>-0.1</v>
      </c>
      <c r="E31" s="361">
        <v>1</v>
      </c>
      <c r="F31" s="360">
        <f t="shared" si="5"/>
        <v>-0.1</v>
      </c>
      <c r="K31">
        <f>K30*60*10000</f>
        <v>31.200000000000003</v>
      </c>
      <c r="P31">
        <f>P20/$W$8</f>
        <v>3.5169988276670576</v>
      </c>
      <c r="Q31">
        <f>Q20/$W$8</f>
        <v>0</v>
      </c>
      <c r="R31">
        <f>R20/$W$8</f>
        <v>5.2754982415005864</v>
      </c>
      <c r="S31">
        <f>S20/$W$8</f>
        <v>5.8323563892145369</v>
      </c>
      <c r="T31">
        <f>T20/$W$8</f>
        <v>5.5685814771395075</v>
      </c>
    </row>
    <row r="32" spans="1:21" x14ac:dyDescent="0.2">
      <c r="B32" s="358">
        <v>6</v>
      </c>
      <c r="C32" s="359">
        <f t="shared" si="6"/>
        <v>1</v>
      </c>
      <c r="D32" s="373">
        <f t="shared" si="4"/>
        <v>-0.1</v>
      </c>
      <c r="E32" s="361">
        <v>1</v>
      </c>
      <c r="F32" s="360">
        <f t="shared" si="5"/>
        <v>-0.1</v>
      </c>
    </row>
    <row r="33" spans="2:6" x14ac:dyDescent="0.2">
      <c r="B33" s="358">
        <v>7</v>
      </c>
      <c r="C33" s="359">
        <f t="shared" si="6"/>
        <v>1</v>
      </c>
      <c r="D33" s="373">
        <f t="shared" si="4"/>
        <v>-0.1</v>
      </c>
      <c r="E33" s="361">
        <v>1</v>
      </c>
      <c r="F33" s="360">
        <f t="shared" si="5"/>
        <v>-0.1</v>
      </c>
    </row>
    <row r="34" spans="2:6" x14ac:dyDescent="0.2">
      <c r="B34" s="362">
        <v>8</v>
      </c>
      <c r="C34" s="359">
        <f t="shared" si="6"/>
        <v>1</v>
      </c>
      <c r="D34" s="373">
        <f t="shared" si="4"/>
        <v>-0.1</v>
      </c>
      <c r="E34" s="361">
        <v>1</v>
      </c>
      <c r="F34" s="360">
        <f t="shared" si="5"/>
        <v>-0.1</v>
      </c>
    </row>
    <row r="35" spans="2:6" x14ac:dyDescent="0.2">
      <c r="B35" s="358">
        <v>9</v>
      </c>
      <c r="C35" s="359">
        <f t="shared" si="6"/>
        <v>1</v>
      </c>
      <c r="D35" s="373">
        <f t="shared" si="4"/>
        <v>-0.1</v>
      </c>
      <c r="E35" s="361">
        <v>1</v>
      </c>
      <c r="F35" s="360">
        <f t="shared" si="5"/>
        <v>-0.1</v>
      </c>
    </row>
    <row r="36" spans="2:6" x14ac:dyDescent="0.2">
      <c r="B36" s="358">
        <v>10</v>
      </c>
      <c r="C36" s="359">
        <f t="shared" si="6"/>
        <v>1</v>
      </c>
      <c r="D36" s="373">
        <f t="shared" si="4"/>
        <v>-0.1</v>
      </c>
      <c r="E36" s="361">
        <v>1</v>
      </c>
      <c r="F36" s="360">
        <f t="shared" si="5"/>
        <v>-0.1</v>
      </c>
    </row>
    <row r="37" spans="2:6" x14ac:dyDescent="0.2">
      <c r="B37" s="362">
        <v>11</v>
      </c>
      <c r="C37" s="359">
        <f t="shared" si="6"/>
        <v>1</v>
      </c>
      <c r="D37" s="373">
        <f t="shared" si="4"/>
        <v>-0.1</v>
      </c>
      <c r="E37" s="361">
        <v>1</v>
      </c>
      <c r="F37" s="360">
        <f t="shared" si="5"/>
        <v>-0.1</v>
      </c>
    </row>
    <row r="38" spans="2:6" x14ac:dyDescent="0.2">
      <c r="B38" s="358">
        <v>12</v>
      </c>
      <c r="C38" s="359">
        <f t="shared" si="6"/>
        <v>1</v>
      </c>
      <c r="D38" s="373">
        <f t="shared" si="4"/>
        <v>-0.1</v>
      </c>
      <c r="E38" s="361">
        <v>1</v>
      </c>
      <c r="F38" s="360">
        <f t="shared" si="5"/>
        <v>-0.1</v>
      </c>
    </row>
    <row r="39" spans="2:6" x14ac:dyDescent="0.2">
      <c r="B39" s="358">
        <v>13</v>
      </c>
      <c r="C39" s="359">
        <f t="shared" si="6"/>
        <v>1</v>
      </c>
      <c r="D39" s="373">
        <f t="shared" si="4"/>
        <v>-0.1</v>
      </c>
      <c r="E39" s="361">
        <v>1</v>
      </c>
      <c r="F39" s="360">
        <f t="shared" si="5"/>
        <v>-0.1</v>
      </c>
    </row>
    <row r="40" spans="2:6" x14ac:dyDescent="0.2">
      <c r="B40" s="362">
        <v>14</v>
      </c>
      <c r="C40" s="359">
        <f t="shared" si="6"/>
        <v>1</v>
      </c>
      <c r="D40" s="373">
        <f t="shared" si="4"/>
        <v>-0.1</v>
      </c>
      <c r="E40" s="361">
        <v>1</v>
      </c>
      <c r="F40" s="360">
        <f t="shared" si="5"/>
        <v>-0.1</v>
      </c>
    </row>
    <row r="41" spans="2:6" x14ac:dyDescent="0.2">
      <c r="B41" s="358">
        <v>15</v>
      </c>
      <c r="C41" s="359">
        <f t="shared" si="6"/>
        <v>1</v>
      </c>
      <c r="D41" s="373">
        <f t="shared" si="4"/>
        <v>-0.1</v>
      </c>
      <c r="E41" s="361">
        <v>1</v>
      </c>
      <c r="F41" s="360">
        <f t="shared" si="5"/>
        <v>-0.1</v>
      </c>
    </row>
    <row r="42" spans="2:6" x14ac:dyDescent="0.2">
      <c r="B42" s="358">
        <v>16</v>
      </c>
      <c r="C42" s="359">
        <f t="shared" si="6"/>
        <v>1</v>
      </c>
      <c r="D42" s="373">
        <f t="shared" si="4"/>
        <v>-0.1</v>
      </c>
      <c r="E42" s="364">
        <v>1</v>
      </c>
      <c r="F42" s="360">
        <f t="shared" si="5"/>
        <v>-0.1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55"/>
  <sheetViews>
    <sheetView zoomScale="130" zoomScaleNormal="130" zoomScalePageLayoutView="130" workbookViewId="0">
      <selection activeCell="B14" sqref="B14"/>
    </sheetView>
  </sheetViews>
  <sheetFormatPr baseColWidth="10" defaultRowHeight="16" x14ac:dyDescent="0.2"/>
  <cols>
    <col min="3" max="3" width="13.33203125" customWidth="1"/>
    <col min="5" max="5" width="12.83203125" bestFit="1" customWidth="1"/>
    <col min="6" max="6" width="11" bestFit="1" customWidth="1"/>
    <col min="7" max="7" width="12.83203125" bestFit="1" customWidth="1"/>
    <col min="9" max="9" width="8" customWidth="1"/>
    <col min="10" max="10" width="6.1640625" customWidth="1"/>
    <col min="14" max="14" width="12.33203125" customWidth="1"/>
    <col min="15" max="15" width="12.6640625" bestFit="1" customWidth="1"/>
    <col min="16" max="16" width="12" bestFit="1" customWidth="1"/>
    <col min="17" max="17" width="14" bestFit="1" customWidth="1"/>
    <col min="19" max="19" width="11" bestFit="1" customWidth="1"/>
    <col min="20" max="20" width="12.83203125" bestFit="1" customWidth="1"/>
    <col min="21" max="21" width="12" bestFit="1" customWidth="1"/>
    <col min="23" max="23" width="11.5" bestFit="1" customWidth="1"/>
    <col min="46" max="46" width="13.83203125" bestFit="1" customWidth="1"/>
  </cols>
  <sheetData>
    <row r="1" spans="1:50" x14ac:dyDescent="0.2">
      <c r="B1" s="1" t="s">
        <v>0</v>
      </c>
      <c r="C1" t="s">
        <v>350</v>
      </c>
      <c r="F1" s="1" t="s">
        <v>1</v>
      </c>
      <c r="L1" s="1" t="s">
        <v>2</v>
      </c>
      <c r="P1" s="1" t="s">
        <v>3</v>
      </c>
      <c r="AH1">
        <v>49135</v>
      </c>
      <c r="AI1">
        <v>6141.8</v>
      </c>
      <c r="AJ1">
        <f>AI1</f>
        <v>6141.8</v>
      </c>
      <c r="AK1">
        <v>4913.3999999999996</v>
      </c>
      <c r="AL1">
        <v>614.17999999999995</v>
      </c>
      <c r="AM1">
        <f>AL1</f>
        <v>614.17999999999995</v>
      </c>
      <c r="AN1">
        <v>545.9</v>
      </c>
      <c r="AO1">
        <v>68.239999999999995</v>
      </c>
      <c r="AP1">
        <f>AO1</f>
        <v>68.239999999999995</v>
      </c>
    </row>
    <row r="2" spans="1:50" x14ac:dyDescent="0.2">
      <c r="A2" s="2" t="s">
        <v>4</v>
      </c>
      <c r="B2" s="2" t="s">
        <v>5</v>
      </c>
      <c r="C2" s="2" t="s">
        <v>6</v>
      </c>
      <c r="D2" s="3" t="s">
        <v>7</v>
      </c>
      <c r="F2" s="4" t="s">
        <v>8</v>
      </c>
      <c r="G2" s="5" t="s">
        <v>9</v>
      </c>
      <c r="H2" s="3" t="s">
        <v>7</v>
      </c>
      <c r="K2" t="s">
        <v>10</v>
      </c>
      <c r="L2" t="s">
        <v>5</v>
      </c>
      <c r="M2" t="s">
        <v>6</v>
      </c>
      <c r="O2" t="s">
        <v>10</v>
      </c>
      <c r="P2" t="s">
        <v>8</v>
      </c>
      <c r="Q2" t="s">
        <v>9</v>
      </c>
      <c r="U2" t="s">
        <v>349</v>
      </c>
      <c r="AH2">
        <v>1</v>
      </c>
      <c r="AI2">
        <v>2</v>
      </c>
      <c r="AJ2">
        <v>22</v>
      </c>
      <c r="AK2">
        <v>3</v>
      </c>
      <c r="AL2">
        <v>4</v>
      </c>
      <c r="AM2">
        <v>44</v>
      </c>
      <c r="AN2">
        <v>5</v>
      </c>
      <c r="AO2">
        <v>6</v>
      </c>
      <c r="AP2">
        <v>66</v>
      </c>
      <c r="AQ2">
        <v>7</v>
      </c>
      <c r="AR2">
        <v>77</v>
      </c>
    </row>
    <row r="3" spans="1:50" x14ac:dyDescent="0.2">
      <c r="A3" s="3">
        <v>1</v>
      </c>
      <c r="B3" s="163">
        <f t="shared" ref="B3:B17" si="0">L3*9/5+32</f>
        <v>4167.3200000000006</v>
      </c>
      <c r="C3" s="163">
        <f>B3*(1+D3)^35</f>
        <v>3495.7400000000021</v>
      </c>
      <c r="D3" s="6">
        <f>'HDD_CDD _BrianUCI'!D3</f>
        <v>-5.0082185297711801E-3</v>
      </c>
      <c r="E3" s="146">
        <f>B3-C3</f>
        <v>671.57999999999856</v>
      </c>
      <c r="F3" s="4">
        <f t="shared" ref="F3:F17" si="1">P3*9/5+32</f>
        <v>64.776200000000003</v>
      </c>
      <c r="G3" s="163">
        <f>F3*(1+H3)^35</f>
        <v>1496.8505888066679</v>
      </c>
      <c r="H3" s="6">
        <f>'HDD_CDD _BrianUCI'!H3</f>
        <v>9.3867342740370674E-2</v>
      </c>
      <c r="I3">
        <v>1</v>
      </c>
      <c r="K3">
        <v>1</v>
      </c>
      <c r="L3">
        <v>2297.4</v>
      </c>
      <c r="M3">
        <v>1924.3</v>
      </c>
      <c r="O3">
        <v>1</v>
      </c>
      <c r="P3">
        <v>18.209</v>
      </c>
      <c r="Q3">
        <v>59.249000000000002</v>
      </c>
      <c r="T3" s="8"/>
      <c r="U3" s="8" t="s">
        <v>14</v>
      </c>
      <c r="V3" s="8" t="s">
        <v>110</v>
      </c>
      <c r="W3" s="8" t="s">
        <v>185</v>
      </c>
      <c r="X3" s="8" t="s">
        <v>344</v>
      </c>
      <c r="Y3" s="8" t="s">
        <v>345</v>
      </c>
      <c r="AB3">
        <v>49135</v>
      </c>
      <c r="AD3">
        <v>179346</v>
      </c>
      <c r="AF3" s="5">
        <f>SUM(AH3:AP3)</f>
        <v>3510.3889999999997</v>
      </c>
      <c r="AH3">
        <v>2861.4</v>
      </c>
      <c r="AI3">
        <v>357.7</v>
      </c>
      <c r="AJ3">
        <v>3.97</v>
      </c>
      <c r="AK3">
        <v>244.8</v>
      </c>
      <c r="AL3">
        <v>30.6</v>
      </c>
      <c r="AM3">
        <v>0.4</v>
      </c>
      <c r="AN3">
        <v>10.199999999999999</v>
      </c>
      <c r="AO3">
        <v>1.2749999999999999</v>
      </c>
      <c r="AP3">
        <v>4.3999999999999997E-2</v>
      </c>
    </row>
    <row r="4" spans="1:50" x14ac:dyDescent="0.2">
      <c r="A4" s="3">
        <f>A3+1</f>
        <v>2</v>
      </c>
      <c r="B4" s="163">
        <f t="shared" si="0"/>
        <v>3809.66</v>
      </c>
      <c r="C4" s="163">
        <f t="shared" ref="C4:C18" si="2">B4*(1+D4)^35</f>
        <v>3250.759999999997</v>
      </c>
      <c r="D4" s="6">
        <f>'HDD_CDD _BrianUCI'!D4</f>
        <v>-4.5226314234696474E-3</v>
      </c>
      <c r="E4" s="146">
        <f t="shared" ref="E4:E18" si="3">B4-C4</f>
        <v>558.90000000000282</v>
      </c>
      <c r="F4" s="4">
        <f t="shared" si="1"/>
        <v>444.23600000000005</v>
      </c>
      <c r="G4" s="163">
        <f t="shared" ref="G4:G18" si="4">F4*(1+H4)^35</f>
        <v>2094.749295333329</v>
      </c>
      <c r="H4" s="6">
        <f>'HDD_CDD _BrianUCI'!H4</f>
        <v>4.5305848017916484E-2</v>
      </c>
      <c r="I4">
        <v>2</v>
      </c>
      <c r="K4">
        <f>K3+1</f>
        <v>2</v>
      </c>
      <c r="L4">
        <v>2098.6999999999998</v>
      </c>
      <c r="M4">
        <v>1788.2</v>
      </c>
      <c r="O4">
        <f>O3+1</f>
        <v>2</v>
      </c>
      <c r="P4">
        <v>229.02</v>
      </c>
      <c r="Q4">
        <v>390.89</v>
      </c>
      <c r="T4" s="8">
        <v>2020</v>
      </c>
      <c r="U4" s="8">
        <v>0.9</v>
      </c>
      <c r="V4" s="8">
        <v>0.1</v>
      </c>
      <c r="W4" s="8">
        <v>0</v>
      </c>
      <c r="X4" s="8">
        <v>0</v>
      </c>
      <c r="Y4" s="8">
        <f>SUM(U4:X4)</f>
        <v>1</v>
      </c>
      <c r="AB4">
        <v>6141.8</v>
      </c>
      <c r="AD4">
        <v>22418.31</v>
      </c>
      <c r="AW4" t="s">
        <v>183</v>
      </c>
    </row>
    <row r="5" spans="1:50" x14ac:dyDescent="0.2">
      <c r="A5" s="135">
        <f t="shared" ref="A5:A18" si="5">A4+1</f>
        <v>3</v>
      </c>
      <c r="B5" s="164">
        <f t="shared" si="0"/>
        <v>2953.2200000000003</v>
      </c>
      <c r="C5" s="163">
        <f t="shared" si="2"/>
        <v>2331.3200000000015</v>
      </c>
      <c r="D5" s="6">
        <f>'HDD_CDD _BrianUCI'!D5</f>
        <v>-6.7332712493571867E-3</v>
      </c>
      <c r="E5" s="146">
        <f t="shared" si="3"/>
        <v>621.89999999999873</v>
      </c>
      <c r="F5" s="136">
        <f t="shared" si="1"/>
        <v>177.809</v>
      </c>
      <c r="G5" s="163">
        <f t="shared" si="4"/>
        <v>449.17615011920407</v>
      </c>
      <c r="H5" s="6">
        <f>'HDD_CDD _BrianUCI'!H5</f>
        <v>2.6830928747883398E-2</v>
      </c>
      <c r="I5">
        <v>3</v>
      </c>
      <c r="K5">
        <f t="shared" ref="K5:K18" si="6">K4+1</f>
        <v>3</v>
      </c>
      <c r="L5">
        <v>1622.9</v>
      </c>
      <c r="M5">
        <v>1277.4000000000001</v>
      </c>
      <c r="O5">
        <f t="shared" ref="O5:O18" si="7">O4+1</f>
        <v>3</v>
      </c>
      <c r="P5">
        <v>81.004999999999995</v>
      </c>
      <c r="Q5">
        <v>194.14</v>
      </c>
      <c r="T5" s="8">
        <v>2030</v>
      </c>
      <c r="U5" s="8">
        <v>0.9</v>
      </c>
      <c r="V5" s="8">
        <v>0.1</v>
      </c>
      <c r="W5" s="8">
        <v>0</v>
      </c>
      <c r="X5" s="8">
        <v>0</v>
      </c>
      <c r="Y5" s="8">
        <f>SUM(U5:X5)</f>
        <v>1</v>
      </c>
      <c r="AB5">
        <v>4913.3999999999996</v>
      </c>
      <c r="AD5">
        <v>17934.599999999999</v>
      </c>
      <c r="AH5" s="5">
        <f>AH3*10^6/AH1</f>
        <v>58235.473694922155</v>
      </c>
      <c r="AI5" s="5">
        <f t="shared" ref="AI5:AP5" si="8">AI3*10^6/AI1</f>
        <v>58240.25529974926</v>
      </c>
      <c r="AJ5" s="5">
        <f t="shared" si="8"/>
        <v>646.39030902992602</v>
      </c>
      <c r="AK5" s="5">
        <f t="shared" si="8"/>
        <v>49822.9332030773</v>
      </c>
      <c r="AL5" s="5">
        <f t="shared" si="8"/>
        <v>49822.527597772641</v>
      </c>
      <c r="AM5" s="5">
        <f t="shared" si="8"/>
        <v>651.27487055911956</v>
      </c>
      <c r="AN5" s="5">
        <f t="shared" si="8"/>
        <v>18684.740795017402</v>
      </c>
      <c r="AO5" s="5">
        <f t="shared" si="8"/>
        <v>18684.056271981244</v>
      </c>
      <c r="AP5" s="5">
        <f t="shared" si="8"/>
        <v>644.78311840562719</v>
      </c>
      <c r="AR5">
        <v>1</v>
      </c>
      <c r="AS5">
        <v>1</v>
      </c>
      <c r="AT5">
        <v>1</v>
      </c>
      <c r="AU5">
        <v>1</v>
      </c>
      <c r="AV5">
        <f>SUM(AM5:AP5)+2*SUM(AR5:AU5)</f>
        <v>38672.855055963388</v>
      </c>
    </row>
    <row r="6" spans="1:50" x14ac:dyDescent="0.2">
      <c r="A6" s="3">
        <f t="shared" si="5"/>
        <v>4</v>
      </c>
      <c r="B6" s="163">
        <f t="shared" si="0"/>
        <v>2908.2200000000003</v>
      </c>
      <c r="C6" s="163">
        <f t="shared" si="2"/>
        <v>2364.0799999999972</v>
      </c>
      <c r="D6" s="6">
        <f>'HDD_CDD _BrianUCI'!D6</f>
        <v>-5.9011556695376388E-3</v>
      </c>
      <c r="E6" s="146">
        <f t="shared" si="3"/>
        <v>544.14000000000306</v>
      </c>
      <c r="F6" s="4">
        <f t="shared" si="1"/>
        <v>685.05799999999999</v>
      </c>
      <c r="G6" s="163">
        <f t="shared" si="4"/>
        <v>7609.3586292653245</v>
      </c>
      <c r="H6" s="6">
        <f>'HDD_CDD _BrianUCI'!H6</f>
        <v>7.1210639281108268E-2</v>
      </c>
      <c r="I6">
        <v>4</v>
      </c>
      <c r="K6">
        <f t="shared" si="6"/>
        <v>4</v>
      </c>
      <c r="L6">
        <v>1597.9</v>
      </c>
      <c r="M6">
        <v>1295.5999999999999</v>
      </c>
      <c r="O6">
        <f t="shared" si="7"/>
        <v>4</v>
      </c>
      <c r="P6">
        <v>362.81</v>
      </c>
      <c r="Q6">
        <v>586.97</v>
      </c>
      <c r="T6" s="8">
        <v>2040</v>
      </c>
      <c r="U6" s="8">
        <v>0.9</v>
      </c>
      <c r="V6" s="8">
        <v>0.1</v>
      </c>
      <c r="W6" s="8">
        <v>0</v>
      </c>
      <c r="X6" s="8">
        <v>0</v>
      </c>
      <c r="Y6" s="8">
        <f>SUM(U6:X6)</f>
        <v>1</v>
      </c>
      <c r="AB6">
        <v>614.17999999999995</v>
      </c>
      <c r="AD6">
        <v>2241.8000000000002</v>
      </c>
      <c r="AR6">
        <v>1</v>
      </c>
      <c r="AS6">
        <v>1</v>
      </c>
      <c r="AT6">
        <v>1</v>
      </c>
      <c r="AU6">
        <v>1</v>
      </c>
      <c r="AV6">
        <f>SUM(AM6:AP6)+2*SUM(AR6:AU6)</f>
        <v>8</v>
      </c>
    </row>
    <row r="7" spans="1:50" x14ac:dyDescent="0.2">
      <c r="A7" s="3">
        <f t="shared" si="5"/>
        <v>5</v>
      </c>
      <c r="B7" s="163">
        <f t="shared" si="0"/>
        <v>3030.98</v>
      </c>
      <c r="C7" s="163">
        <f t="shared" si="2"/>
        <v>2357.6000000000013</v>
      </c>
      <c r="D7" s="6">
        <f>'HDD_CDD _BrianUCI'!D7</f>
        <v>-7.152635755446668E-3</v>
      </c>
      <c r="E7" s="146">
        <f t="shared" si="3"/>
        <v>673.37999999999874</v>
      </c>
      <c r="F7" s="4">
        <f t="shared" si="1"/>
        <v>168.76579999999998</v>
      </c>
      <c r="G7" s="163">
        <f t="shared" si="4"/>
        <v>1739.5648865946002</v>
      </c>
      <c r="H7" s="6">
        <f>'HDD_CDD _BrianUCI'!H7</f>
        <v>6.8925209856081304E-2</v>
      </c>
      <c r="I7">
        <v>5</v>
      </c>
      <c r="K7">
        <f t="shared" si="6"/>
        <v>5</v>
      </c>
      <c r="L7">
        <v>1666.1</v>
      </c>
      <c r="M7">
        <v>1292</v>
      </c>
      <c r="O7">
        <f t="shared" si="7"/>
        <v>5</v>
      </c>
      <c r="P7">
        <v>75.980999999999995</v>
      </c>
      <c r="Q7">
        <v>194.1</v>
      </c>
      <c r="T7" s="8">
        <v>2050</v>
      </c>
      <c r="U7" s="8">
        <v>0.9</v>
      </c>
      <c r="V7" s="8">
        <v>0.1</v>
      </c>
      <c r="W7" s="8">
        <v>0</v>
      </c>
      <c r="X7" s="8">
        <v>0</v>
      </c>
      <c r="Y7" s="8">
        <f>SUM(U7:X7)</f>
        <v>1</v>
      </c>
      <c r="AB7">
        <v>545.9</v>
      </c>
      <c r="AD7">
        <v>1992.7</v>
      </c>
      <c r="AR7">
        <v>1</v>
      </c>
      <c r="AS7">
        <v>1</v>
      </c>
      <c r="AT7">
        <v>1</v>
      </c>
      <c r="AU7">
        <v>1</v>
      </c>
      <c r="AV7">
        <f>SUM(AM7:AP7)+2*SUM(AR7:AU7)</f>
        <v>8</v>
      </c>
    </row>
    <row r="8" spans="1:50" x14ac:dyDescent="0.2">
      <c r="A8" s="3">
        <f t="shared" si="5"/>
        <v>6</v>
      </c>
      <c r="B8" s="164">
        <v>1460</v>
      </c>
      <c r="C8" s="163">
        <f t="shared" si="2"/>
        <v>1027.5411995254142</v>
      </c>
      <c r="D8" s="6">
        <f>'HDD_CDD _BrianUCI'!D8</f>
        <v>-9.9860244221436911E-3</v>
      </c>
      <c r="E8" s="146">
        <f t="shared" si="3"/>
        <v>432.45880047458581</v>
      </c>
      <c r="F8" s="136">
        <v>730</v>
      </c>
      <c r="G8" s="163">
        <f t="shared" si="4"/>
        <v>4824.2511494252776</v>
      </c>
      <c r="H8" s="6">
        <f>'HDD_CDD _BrianUCI'!H8</f>
        <v>5.5435335255767937E-2</v>
      </c>
      <c r="I8">
        <v>6</v>
      </c>
      <c r="K8">
        <f t="shared" si="6"/>
        <v>6</v>
      </c>
      <c r="L8">
        <v>815.7</v>
      </c>
      <c r="M8">
        <v>568.82000000000005</v>
      </c>
      <c r="O8">
        <f t="shared" si="7"/>
        <v>6</v>
      </c>
      <c r="P8">
        <v>380.06</v>
      </c>
      <c r="Q8">
        <v>621.04999999999995</v>
      </c>
      <c r="AB8">
        <v>68.239999999999995</v>
      </c>
      <c r="AD8">
        <v>249.09</v>
      </c>
      <c r="AR8">
        <v>1</v>
      </c>
      <c r="AS8">
        <v>1</v>
      </c>
      <c r="AT8">
        <v>1</v>
      </c>
      <c r="AU8">
        <v>1</v>
      </c>
      <c r="AV8">
        <f>SUM(AM8:AP8)+2*SUM(AR8:AU8)</f>
        <v>8</v>
      </c>
    </row>
    <row r="9" spans="1:50" x14ac:dyDescent="0.2">
      <c r="A9" s="3">
        <f t="shared" si="5"/>
        <v>7</v>
      </c>
      <c r="B9" s="163">
        <f t="shared" si="0"/>
        <v>1274.9000000000001</v>
      </c>
      <c r="C9" s="163">
        <f t="shared" si="2"/>
        <v>828.85999999999933</v>
      </c>
      <c r="D9" s="6">
        <f>'HDD_CDD _BrianUCI'!D9</f>
        <v>-1.2226689425057335E-2</v>
      </c>
      <c r="E9" s="146">
        <f t="shared" si="3"/>
        <v>446.04000000000076</v>
      </c>
      <c r="F9" s="4">
        <v>984</v>
      </c>
      <c r="G9" s="332">
        <f t="shared" si="4"/>
        <v>1444.1007785581362</v>
      </c>
      <c r="H9" s="6">
        <f>'HDD_CDD _BrianUCI'!H9</f>
        <v>1.1020749106555483E-2</v>
      </c>
      <c r="I9">
        <v>7</v>
      </c>
      <c r="K9">
        <f t="shared" si="6"/>
        <v>7</v>
      </c>
      <c r="L9">
        <v>690.5</v>
      </c>
      <c r="M9">
        <v>442.7</v>
      </c>
      <c r="O9">
        <f t="shared" si="7"/>
        <v>7</v>
      </c>
      <c r="P9">
        <v>571.05999999999995</v>
      </c>
      <c r="Q9">
        <v>846.39</v>
      </c>
      <c r="T9">
        <f>11492.14/29.3</f>
        <v>392.22320819112628</v>
      </c>
      <c r="AR9">
        <v>1</v>
      </c>
      <c r="AS9">
        <v>1</v>
      </c>
      <c r="AT9">
        <v>1</v>
      </c>
      <c r="AU9">
        <v>1</v>
      </c>
      <c r="AV9">
        <f>SUM(AM9:AP9)+2*SUM(AR9:AU9)</f>
        <v>8</v>
      </c>
    </row>
    <row r="10" spans="1:50" x14ac:dyDescent="0.2">
      <c r="A10" s="3">
        <f t="shared" si="5"/>
        <v>8</v>
      </c>
      <c r="B10" s="163">
        <v>1290</v>
      </c>
      <c r="C10" s="163">
        <f t="shared" si="2"/>
        <v>850.98100962652688</v>
      </c>
      <c r="D10" s="6">
        <f>'HDD_CDD _BrianUCI'!D10</f>
        <v>-1.1815575163615311E-2</v>
      </c>
      <c r="E10" s="146">
        <f t="shared" si="3"/>
        <v>439.01899037347312</v>
      </c>
      <c r="F10" s="4">
        <v>1300</v>
      </c>
      <c r="G10" s="163">
        <f t="shared" si="4"/>
        <v>10623.902325581421</v>
      </c>
      <c r="H10" s="6">
        <f>'HDD_CDD _BrianUCI'!H10</f>
        <v>6.1859061798504644E-2</v>
      </c>
      <c r="I10">
        <v>8</v>
      </c>
      <c r="J10">
        <f>(I10)^(1/35)-1</f>
        <v>6.1213023333372751E-2</v>
      </c>
      <c r="K10">
        <f t="shared" si="6"/>
        <v>8</v>
      </c>
      <c r="L10">
        <v>701.3</v>
      </c>
      <c r="M10">
        <v>456.58</v>
      </c>
      <c r="O10">
        <f t="shared" si="7"/>
        <v>8</v>
      </c>
      <c r="P10">
        <v>647.15</v>
      </c>
      <c r="Q10">
        <v>958.35</v>
      </c>
    </row>
    <row r="11" spans="1:50" x14ac:dyDescent="0.2">
      <c r="A11" s="3">
        <f t="shared" si="5"/>
        <v>9</v>
      </c>
      <c r="B11" s="164">
        <v>1160</v>
      </c>
      <c r="C11" s="163">
        <f t="shared" si="2"/>
        <v>765.07909564427644</v>
      </c>
      <c r="D11" s="6">
        <f>'HDD_CDD _BrianUCI'!D11</f>
        <v>-1.1820893790119524E-2</v>
      </c>
      <c r="E11" s="146">
        <f t="shared" si="3"/>
        <v>394.92090435572356</v>
      </c>
      <c r="F11" s="136">
        <v>1540</v>
      </c>
      <c r="G11" s="163">
        <f t="shared" si="4"/>
        <v>2242.5405198215949</v>
      </c>
      <c r="H11" s="6">
        <f>'HDD_CDD _BrianUCI'!H11</f>
        <v>1.0795771652960306E-2</v>
      </c>
      <c r="I11">
        <v>9</v>
      </c>
      <c r="K11">
        <f t="shared" si="6"/>
        <v>9</v>
      </c>
      <c r="L11">
        <v>765.1</v>
      </c>
      <c r="M11">
        <v>498.57</v>
      </c>
      <c r="O11">
        <f t="shared" si="7"/>
        <v>9</v>
      </c>
      <c r="P11">
        <v>785.19</v>
      </c>
      <c r="Q11">
        <v>1151.5</v>
      </c>
      <c r="AB11">
        <f>SUM(AB3:AB9)/10^6</f>
        <v>6.1418520000000004E-2</v>
      </c>
      <c r="AD11">
        <f>SUM(AD3:AD9)/10^6</f>
        <v>0.22418250000000001</v>
      </c>
    </row>
    <row r="12" spans="1:50" x14ac:dyDescent="0.2">
      <c r="A12" s="3">
        <f t="shared" si="5"/>
        <v>10</v>
      </c>
      <c r="B12" s="163">
        <v>1680</v>
      </c>
      <c r="C12" s="163">
        <f t="shared" si="2"/>
        <v>1132.24743472921</v>
      </c>
      <c r="D12" s="6">
        <f>'HDD_CDD _BrianUCI'!D12</f>
        <v>-1.1210665587023105E-2</v>
      </c>
      <c r="E12" s="146">
        <f t="shared" si="3"/>
        <v>547.75256527079</v>
      </c>
      <c r="F12" s="169">
        <v>1500</v>
      </c>
      <c r="G12" s="163">
        <f t="shared" si="4"/>
        <v>2028.5075293089117</v>
      </c>
      <c r="H12" s="6">
        <f>'HDD_CDD _BrianUCI'!H12</f>
        <v>8.6611556982227889E-3</v>
      </c>
      <c r="I12">
        <v>10</v>
      </c>
      <c r="K12">
        <f t="shared" si="6"/>
        <v>10</v>
      </c>
      <c r="L12">
        <v>879.68</v>
      </c>
      <c r="M12">
        <v>587.07000000000005</v>
      </c>
      <c r="O12">
        <f t="shared" si="7"/>
        <v>10</v>
      </c>
      <c r="P12">
        <v>943.06</v>
      </c>
      <c r="Q12">
        <v>1281.5999999999999</v>
      </c>
    </row>
    <row r="13" spans="1:50" x14ac:dyDescent="0.2">
      <c r="A13" s="3">
        <f t="shared" si="5"/>
        <v>11</v>
      </c>
      <c r="B13" s="163">
        <f t="shared" si="0"/>
        <v>2600.42</v>
      </c>
      <c r="C13" s="163">
        <f t="shared" si="2"/>
        <v>2161.7599999999979</v>
      </c>
      <c r="D13" s="6">
        <f>'HDD_CDD _BrianUCI'!D13</f>
        <v>-5.2646718030248119E-3</v>
      </c>
      <c r="E13" s="146">
        <f t="shared" si="3"/>
        <v>438.66000000000213</v>
      </c>
      <c r="F13" s="4">
        <f t="shared" si="1"/>
        <v>1790.4920000000002</v>
      </c>
      <c r="G13" s="163">
        <f t="shared" si="4"/>
        <v>2341.7600000000034</v>
      </c>
      <c r="H13" s="6">
        <f>'HDD_CDD _BrianUCI'!H13</f>
        <v>7.6984055417443908E-3</v>
      </c>
      <c r="I13">
        <v>11</v>
      </c>
      <c r="K13">
        <f t="shared" si="6"/>
        <v>11</v>
      </c>
      <c r="L13">
        <v>1426.9</v>
      </c>
      <c r="M13">
        <v>1183.2</v>
      </c>
      <c r="O13">
        <f t="shared" si="7"/>
        <v>11</v>
      </c>
      <c r="P13">
        <v>976.94</v>
      </c>
      <c r="Q13">
        <v>1283.2</v>
      </c>
    </row>
    <row r="14" spans="1:50" x14ac:dyDescent="0.2">
      <c r="A14" s="3">
        <f t="shared" si="5"/>
        <v>12</v>
      </c>
      <c r="B14" s="164">
        <v>2700</v>
      </c>
      <c r="C14" s="163">
        <f t="shared" si="2"/>
        <v>2195.8176435562232</v>
      </c>
      <c r="D14" s="6">
        <f>'HDD_CDD _BrianUCI'!D14</f>
        <v>-5.8882329488644247E-3</v>
      </c>
      <c r="E14" s="146">
        <f t="shared" si="3"/>
        <v>504.18235644377683</v>
      </c>
      <c r="F14" s="333">
        <v>1470</v>
      </c>
      <c r="G14" s="163">
        <f t="shared" si="4"/>
        <v>1980.2582508118307</v>
      </c>
      <c r="H14" s="6">
        <f>'HDD_CDD _BrianUCI'!H14</f>
        <v>8.5496228983661382E-3</v>
      </c>
      <c r="I14">
        <v>12</v>
      </c>
      <c r="K14">
        <f t="shared" si="6"/>
        <v>12</v>
      </c>
      <c r="L14">
        <v>1307.0999999999999</v>
      </c>
      <c r="M14">
        <v>1059.7</v>
      </c>
      <c r="O14">
        <f t="shared" si="7"/>
        <v>12</v>
      </c>
      <c r="P14">
        <v>881.09</v>
      </c>
      <c r="Q14">
        <v>1193.0999999999999</v>
      </c>
    </row>
    <row r="15" spans="1:50" x14ac:dyDescent="0.2">
      <c r="A15" s="3">
        <f t="shared" si="5"/>
        <v>13</v>
      </c>
      <c r="B15" s="163">
        <f t="shared" si="0"/>
        <v>2217.7399999999998</v>
      </c>
      <c r="C15" s="163">
        <f t="shared" si="2"/>
        <v>1782.2300000000018</v>
      </c>
      <c r="D15" s="6">
        <f>'HDD_CDD _BrianUCI'!D15</f>
        <v>-6.2269110770333258E-3</v>
      </c>
      <c r="E15" s="146">
        <f t="shared" si="3"/>
        <v>435.50999999999794</v>
      </c>
      <c r="F15" s="167">
        <v>1470</v>
      </c>
      <c r="G15" s="334">
        <f t="shared" si="4"/>
        <v>1888.580676052708</v>
      </c>
      <c r="H15" s="6">
        <f>'HDD_CDD _BrianUCI'!H15</f>
        <v>7.1846345598753913E-3</v>
      </c>
      <c r="I15">
        <v>13</v>
      </c>
      <c r="J15" s="5"/>
      <c r="K15">
        <f t="shared" si="6"/>
        <v>13</v>
      </c>
      <c r="L15">
        <v>1214.3</v>
      </c>
      <c r="M15">
        <v>972.35</v>
      </c>
      <c r="O15">
        <f t="shared" si="7"/>
        <v>13</v>
      </c>
      <c r="P15">
        <v>1188.9000000000001</v>
      </c>
      <c r="Q15">
        <v>1532.5</v>
      </c>
      <c r="AS15" t="s">
        <v>16</v>
      </c>
      <c r="AT15">
        <v>36.68</v>
      </c>
      <c r="AU15">
        <v>0.23</v>
      </c>
      <c r="AW15">
        <f>AT15/5</f>
        <v>7.3360000000000003</v>
      </c>
      <c r="AX15">
        <f>AU15/5</f>
        <v>4.5999999999999999E-2</v>
      </c>
    </row>
    <row r="16" spans="1:50" x14ac:dyDescent="0.2">
      <c r="A16" s="3">
        <f t="shared" si="5"/>
        <v>14</v>
      </c>
      <c r="B16" s="163">
        <v>2704</v>
      </c>
      <c r="C16" s="163">
        <f t="shared" si="2"/>
        <v>2047.4900485776352</v>
      </c>
      <c r="D16" s="6">
        <f>'HDD_CDD _BrianUCI'!D16</f>
        <v>-7.9147260648998463E-3</v>
      </c>
      <c r="E16" s="146">
        <f t="shared" si="3"/>
        <v>656.50995142236479</v>
      </c>
      <c r="F16" s="335">
        <v>1998</v>
      </c>
      <c r="G16" s="163">
        <f t="shared" si="4"/>
        <v>2461.1923542288923</v>
      </c>
      <c r="H16" s="6">
        <f>'HDD_CDD _BrianUCI'!H16</f>
        <v>5.9749003376856624E-3</v>
      </c>
      <c r="I16">
        <v>14</v>
      </c>
      <c r="K16">
        <f t="shared" si="6"/>
        <v>14</v>
      </c>
      <c r="L16">
        <v>1173.9000000000001</v>
      </c>
      <c r="M16">
        <v>884.57</v>
      </c>
      <c r="O16">
        <f t="shared" si="7"/>
        <v>14</v>
      </c>
      <c r="P16">
        <v>1570.9</v>
      </c>
      <c r="Q16">
        <v>1939.2</v>
      </c>
      <c r="AS16" t="s">
        <v>103</v>
      </c>
      <c r="AU16">
        <v>0.12</v>
      </c>
      <c r="AW16">
        <f>AT16/5</f>
        <v>0</v>
      </c>
      <c r="AX16">
        <f>AU16/5</f>
        <v>2.4E-2</v>
      </c>
    </row>
    <row r="17" spans="1:51" x14ac:dyDescent="0.2">
      <c r="A17" s="3">
        <f t="shared" si="5"/>
        <v>15</v>
      </c>
      <c r="B17" s="164">
        <f t="shared" si="0"/>
        <v>1012.856</v>
      </c>
      <c r="C17" s="163">
        <f>B17*(1+D17)^35</f>
        <v>660.90199999999868</v>
      </c>
      <c r="D17" s="6">
        <f>'HDD_CDD _BrianUCI'!D17</f>
        <v>-1.2123730226354712E-2</v>
      </c>
      <c r="E17" s="146">
        <f t="shared" si="3"/>
        <v>351.95400000000132</v>
      </c>
      <c r="F17" s="138">
        <f t="shared" si="1"/>
        <v>4222.76</v>
      </c>
      <c r="G17" s="163">
        <f t="shared" si="4"/>
        <v>4997.8400000000074</v>
      </c>
      <c r="H17" s="6">
        <f>'HDD_CDD _BrianUCI'!H17</f>
        <v>4.8263775170049872E-3</v>
      </c>
      <c r="I17">
        <v>15</v>
      </c>
      <c r="K17">
        <f t="shared" si="6"/>
        <v>15</v>
      </c>
      <c r="L17">
        <v>544.91999999999996</v>
      </c>
      <c r="M17">
        <v>349.39</v>
      </c>
      <c r="O17">
        <f t="shared" si="7"/>
        <v>15</v>
      </c>
      <c r="P17">
        <v>2328.1999999999998</v>
      </c>
      <c r="Q17">
        <v>2758.8</v>
      </c>
      <c r="AS17" t="s">
        <v>15</v>
      </c>
      <c r="AT17">
        <v>41.27</v>
      </c>
      <c r="AW17">
        <f>AT17/5</f>
        <v>8.2540000000000013</v>
      </c>
    </row>
    <row r="18" spans="1:51" x14ac:dyDescent="0.2">
      <c r="A18" s="3">
        <f t="shared" si="5"/>
        <v>16</v>
      </c>
      <c r="B18" s="163">
        <v>4300</v>
      </c>
      <c r="C18" s="163">
        <f t="shared" si="2"/>
        <v>3695.5163057355144</v>
      </c>
      <c r="D18" s="6">
        <f>'HDD_CDD _BrianUCI'!D18</f>
        <v>-4.3190672323588641E-3</v>
      </c>
      <c r="E18" s="146">
        <f t="shared" si="3"/>
        <v>604.48369426448562</v>
      </c>
      <c r="F18" s="4">
        <v>1037</v>
      </c>
      <c r="G18" s="163">
        <f t="shared" si="4"/>
        <v>1979.8973480064967</v>
      </c>
      <c r="H18" s="6">
        <f>'HDD_CDD _BrianUCI'!H18</f>
        <v>1.864928188319892E-2</v>
      </c>
      <c r="I18">
        <v>16</v>
      </c>
      <c r="K18">
        <f t="shared" si="6"/>
        <v>16</v>
      </c>
      <c r="L18">
        <v>3245.9</v>
      </c>
      <c r="M18">
        <v>2787.1</v>
      </c>
      <c r="O18">
        <f t="shared" si="7"/>
        <v>16</v>
      </c>
      <c r="P18">
        <v>160.83000000000001</v>
      </c>
      <c r="Q18">
        <v>323.23</v>
      </c>
      <c r="W18">
        <f>62*4</f>
        <v>248</v>
      </c>
      <c r="AS18" t="s">
        <v>63</v>
      </c>
      <c r="AT18">
        <v>21.5</v>
      </c>
      <c r="AU18" t="s">
        <v>184</v>
      </c>
      <c r="AW18">
        <f>AT18/5</f>
        <v>4.3</v>
      </c>
    </row>
    <row r="19" spans="1:51" x14ac:dyDescent="0.2">
      <c r="W19">
        <f>8*4</f>
        <v>32</v>
      </c>
      <c r="AS19" t="s">
        <v>64</v>
      </c>
      <c r="AT19">
        <v>19.11</v>
      </c>
      <c r="AW19">
        <f>AT19/5</f>
        <v>3.8220000000000001</v>
      </c>
    </row>
    <row r="20" spans="1:51" x14ac:dyDescent="0.2">
      <c r="B20">
        <v>1</v>
      </c>
      <c r="C20">
        <v>2</v>
      </c>
      <c r="D20" s="7">
        <v>3</v>
      </c>
      <c r="E20">
        <v>4</v>
      </c>
      <c r="F20">
        <v>5</v>
      </c>
      <c r="G20" s="7">
        <v>6</v>
      </c>
      <c r="H20">
        <v>7</v>
      </c>
      <c r="I20">
        <v>8</v>
      </c>
      <c r="J20" s="7">
        <v>9</v>
      </c>
      <c r="K20">
        <v>10</v>
      </c>
      <c r="L20">
        <v>11</v>
      </c>
      <c r="M20" s="7">
        <v>12</v>
      </c>
      <c r="N20">
        <v>13</v>
      </c>
      <c r="O20">
        <v>14</v>
      </c>
      <c r="P20" s="7">
        <v>15</v>
      </c>
      <c r="Q20">
        <v>16</v>
      </c>
      <c r="R20">
        <v>17</v>
      </c>
      <c r="S20" s="7">
        <v>18</v>
      </c>
      <c r="T20">
        <v>19</v>
      </c>
      <c r="U20" s="7">
        <v>20</v>
      </c>
      <c r="V20">
        <v>21</v>
      </c>
      <c r="W20" s="7">
        <v>22</v>
      </c>
      <c r="X20">
        <v>0.1</v>
      </c>
      <c r="Y20">
        <v>0.2</v>
      </c>
      <c r="Z20">
        <v>0.2</v>
      </c>
      <c r="AA20">
        <v>0.2</v>
      </c>
      <c r="AB20">
        <v>0.3</v>
      </c>
    </row>
    <row r="21" spans="1:51" x14ac:dyDescent="0.2">
      <c r="AS21" t="s">
        <v>82</v>
      </c>
      <c r="AT21">
        <v>28.01</v>
      </c>
      <c r="AU21">
        <v>0.23</v>
      </c>
      <c r="AW21">
        <f>AT21/5</f>
        <v>5.6020000000000003</v>
      </c>
      <c r="AX21">
        <f>AU21/5</f>
        <v>4.5999999999999999E-2</v>
      </c>
    </row>
    <row r="22" spans="1:51" ht="21" x14ac:dyDescent="0.25">
      <c r="B22" s="161" t="s">
        <v>340</v>
      </c>
      <c r="C22" s="162">
        <f>13.9*(1-0)</f>
        <v>13.9</v>
      </c>
      <c r="D22" s="8" t="s">
        <v>11</v>
      </c>
      <c r="E22" s="8"/>
      <c r="F22" s="8"/>
      <c r="G22" s="8"/>
      <c r="X22" t="s">
        <v>14</v>
      </c>
      <c r="Y22">
        <v>0.5</v>
      </c>
    </row>
    <row r="23" spans="1:51" ht="17" thickBot="1" x14ac:dyDescent="0.25">
      <c r="D23" s="8" t="s">
        <v>13</v>
      </c>
      <c r="E23" s="8"/>
      <c r="F23" s="8"/>
      <c r="G23" s="8"/>
      <c r="H23" s="8"/>
      <c r="I23" s="8"/>
      <c r="J23" s="8"/>
      <c r="M23" s="8"/>
      <c r="N23" s="8" t="s">
        <v>79</v>
      </c>
      <c r="O23" s="8"/>
      <c r="P23" s="8"/>
      <c r="Q23" s="8"/>
      <c r="W23">
        <v>5.0000000000000001E-3</v>
      </c>
      <c r="X23" t="s">
        <v>12</v>
      </c>
      <c r="Y23">
        <v>0.5</v>
      </c>
      <c r="AA23" s="9"/>
      <c r="AB23" s="9"/>
      <c r="AC23" s="9"/>
      <c r="AD23" s="9"/>
      <c r="AE23" s="9"/>
      <c r="AF23" s="9"/>
      <c r="AG23" s="9"/>
      <c r="AH23" s="10"/>
      <c r="AI23" s="11"/>
      <c r="AJ23" s="11"/>
      <c r="AK23" s="12"/>
      <c r="AL23" s="10"/>
      <c r="AM23" s="11"/>
      <c r="AN23" s="11"/>
      <c r="AO23" s="11"/>
      <c r="AP23" s="11"/>
      <c r="AQ23" s="13"/>
      <c r="AS23" t="s">
        <v>185</v>
      </c>
      <c r="AT23">
        <v>15.01</v>
      </c>
      <c r="AW23">
        <f>AT23/5</f>
        <v>3.0019999999999998</v>
      </c>
    </row>
    <row r="24" spans="1:51" ht="80" x14ac:dyDescent="0.2">
      <c r="B24" s="14" t="s">
        <v>19</v>
      </c>
      <c r="C24" s="15" t="s">
        <v>20</v>
      </c>
      <c r="D24" s="2" t="s">
        <v>21</v>
      </c>
      <c r="E24" t="s">
        <v>22</v>
      </c>
      <c r="F24" s="16" t="s">
        <v>23</v>
      </c>
      <c r="G24" s="2" t="s">
        <v>214</v>
      </c>
      <c r="H24" s="2" t="s">
        <v>215</v>
      </c>
      <c r="I24" s="64" t="s">
        <v>341</v>
      </c>
      <c r="J24" s="64" t="s">
        <v>342</v>
      </c>
      <c r="K24" s="64" t="s">
        <v>343</v>
      </c>
      <c r="M24" s="85" t="s">
        <v>19</v>
      </c>
      <c r="N24" s="99" t="s">
        <v>78</v>
      </c>
      <c r="O24" s="87" t="s">
        <v>77</v>
      </c>
      <c r="P24" s="86" t="s">
        <v>75</v>
      </c>
      <c r="Q24" s="87" t="s">
        <v>76</v>
      </c>
      <c r="S24">
        <v>0.5</v>
      </c>
      <c r="T24">
        <f>S24*0.85</f>
        <v>0.42499999999999999</v>
      </c>
      <c r="Z24" s="124"/>
      <c r="AH24" s="17"/>
      <c r="AI24" s="18"/>
      <c r="AJ24" s="18"/>
      <c r="AK24" s="19"/>
      <c r="AL24" s="17"/>
      <c r="AM24" s="18"/>
      <c r="AN24" s="18"/>
      <c r="AO24" s="18"/>
      <c r="AP24" s="18"/>
      <c r="AQ24" s="19"/>
      <c r="AR24" s="17"/>
      <c r="AS24" s="18"/>
      <c r="AT24" s="18">
        <f>AW17*2</f>
        <v>16.508000000000003</v>
      </c>
      <c r="AU24" s="19"/>
      <c r="AW24">
        <f>AW21*3</f>
        <v>16.806000000000001</v>
      </c>
    </row>
    <row r="25" spans="1:51" ht="24" x14ac:dyDescent="0.3">
      <c r="A25" s="58">
        <f>$C$22*C25*N25</f>
        <v>6.0423300000000006E-2</v>
      </c>
      <c r="B25" s="20">
        <v>1</v>
      </c>
      <c r="C25" s="21">
        <v>4.8300000000000001E-3</v>
      </c>
      <c r="D25" s="22">
        <f t="shared" ref="D25:D38" si="9">D26</f>
        <v>6.2500000000000003E-3</v>
      </c>
      <c r="E25" s="23">
        <f>C25*$C$22</f>
        <v>6.7137000000000002E-2</v>
      </c>
      <c r="F25" s="3">
        <f>1/(1.1*2)</f>
        <v>0.45454545454545453</v>
      </c>
      <c r="G25">
        <f>1/19</f>
        <v>5.2631578947368418E-2</v>
      </c>
      <c r="H25" s="25">
        <f>1/22</f>
        <v>4.5454545454545456E-2</v>
      </c>
      <c r="I25" s="134"/>
      <c r="J25" s="7"/>
      <c r="K25" s="9">
        <f>N25*E25*C22</f>
        <v>0.83988387000000009</v>
      </c>
      <c r="M25" s="83">
        <v>1</v>
      </c>
      <c r="N25" s="94">
        <v>0.9</v>
      </c>
      <c r="O25" s="96">
        <v>0.1</v>
      </c>
      <c r="P25" s="92">
        <v>1</v>
      </c>
      <c r="Q25" s="93">
        <v>0.15</v>
      </c>
      <c r="R25">
        <f>(P25/N25)^(1/(2050-2018))-1</f>
        <v>3.2979423992309798E-3</v>
      </c>
      <c r="S25">
        <f>(Q25/O25)^(1/(2050-2018))-1</f>
        <v>1.2751399143162034E-2</v>
      </c>
      <c r="T25" s="316">
        <f>0.944-1.17*EXP(- 0.00298*F3)</f>
        <v>-2.0612003708462834E-2</v>
      </c>
      <c r="U25" s="316">
        <f>0.944-1.17*EXP(- 0.00298*G3)</f>
        <v>0.9304803487772535</v>
      </c>
      <c r="V25" s="134">
        <f>N25*$C25*$C$22</f>
        <v>6.0423300000000006E-2</v>
      </c>
      <c r="W25" s="134">
        <f>O25*$C25*$C$22</f>
        <v>6.7137000000000004E-3</v>
      </c>
      <c r="X25" s="83">
        <v>1</v>
      </c>
      <c r="Y25" s="125">
        <f t="shared" ref="Y25:Y41" si="10">W25*$Y$22*$Y$23</f>
        <v>1.6784250000000001E-3</v>
      </c>
      <c r="Z25" s="126">
        <f t="shared" ref="Z25:Z40" si="11">W25*$Y$22*$Y$23*O25</f>
        <v>1.6784250000000003E-4</v>
      </c>
      <c r="AA25" s="26">
        <f>Y25-Z25</f>
        <v>1.5105825000000001E-3</v>
      </c>
      <c r="AB25" s="130">
        <f>Z25*4 +AA25*4</f>
        <v>6.7137000000000004E-3</v>
      </c>
      <c r="AC25" s="26"/>
      <c r="AD25" s="26">
        <f>68*4</f>
        <v>272</v>
      </c>
      <c r="AE25" s="9">
        <f>8*4</f>
        <v>32</v>
      </c>
      <c r="AF25" s="9">
        <f>SUM(AD25:AE25)</f>
        <v>304</v>
      </c>
      <c r="AG25" s="9"/>
      <c r="AH25" s="27">
        <f>1343*4</f>
        <v>5372</v>
      </c>
      <c r="AI25" s="28">
        <f>168*4</f>
        <v>672</v>
      </c>
      <c r="AJ25" s="29">
        <f>SUM(AH25:AI25)</f>
        <v>6044</v>
      </c>
      <c r="AK25" s="30"/>
      <c r="AL25" s="31"/>
      <c r="AM25" s="28"/>
      <c r="AN25" s="28"/>
      <c r="AO25" s="32"/>
      <c r="AP25" s="18"/>
      <c r="AQ25" s="19"/>
      <c r="AT25" s="7"/>
      <c r="AU25" s="9"/>
    </row>
    <row r="26" spans="1:51" ht="24" x14ac:dyDescent="0.3">
      <c r="A26" s="58">
        <f t="shared" ref="A26:A40" si="12">$C$22*C26*N26</f>
        <v>0.30787110000000001</v>
      </c>
      <c r="B26" s="33">
        <v>2</v>
      </c>
      <c r="C26" s="21">
        <v>2.461E-2</v>
      </c>
      <c r="D26" s="22">
        <f t="shared" si="9"/>
        <v>6.2500000000000003E-3</v>
      </c>
      <c r="E26" s="34">
        <f t="shared" ref="E26:E39" si="13">C26*$C$22</f>
        <v>0.34207900000000002</v>
      </c>
      <c r="F26" s="3">
        <f>F25</f>
        <v>0.45454545454545453</v>
      </c>
      <c r="G26">
        <f>G25</f>
        <v>5.2631578947368418E-2</v>
      </c>
      <c r="H26" s="25">
        <f>H25</f>
        <v>4.5454545454545456E-2</v>
      </c>
      <c r="I26" s="134"/>
      <c r="J26" s="7"/>
      <c r="M26" s="84">
        <v>2</v>
      </c>
      <c r="N26" s="94">
        <f>N25</f>
        <v>0.9</v>
      </c>
      <c r="O26" s="96">
        <v>0.1</v>
      </c>
      <c r="P26" s="95">
        <v>1</v>
      </c>
      <c r="Q26" s="96">
        <v>0.15</v>
      </c>
      <c r="R26">
        <f t="shared" ref="R26:S40" si="14">(P26/N26)^(1/(2050-2018))-1</f>
        <v>3.2979423992309798E-3</v>
      </c>
      <c r="S26">
        <f t="shared" si="14"/>
        <v>1.2751399143162034E-2</v>
      </c>
      <c r="T26" s="316">
        <f t="shared" ref="T26:U40" si="15">0.944-1.17*EXP(- 0.00298*F4)</f>
        <v>0.63264437495271308</v>
      </c>
      <c r="U26" s="316">
        <f t="shared" si="15"/>
        <v>0.94172403047217124</v>
      </c>
      <c r="V26" s="134">
        <f t="shared" ref="V26:V40" si="16">N26*C26*$C$22</f>
        <v>0.30787110000000001</v>
      </c>
      <c r="W26" s="134">
        <f t="shared" ref="W26:W38" si="17">O26*$C26*$C$22</f>
        <v>3.4207899999999999E-2</v>
      </c>
      <c r="X26" s="84">
        <v>2</v>
      </c>
      <c r="Y26" s="125">
        <f t="shared" si="10"/>
        <v>8.5519749999999999E-3</v>
      </c>
      <c r="Z26" s="126">
        <f t="shared" si="11"/>
        <v>8.5519749999999999E-4</v>
      </c>
      <c r="AA26" s="26">
        <f t="shared" ref="AA26:AA40" si="18">Y26-Z26</f>
        <v>7.6967774999999999E-3</v>
      </c>
      <c r="AB26" s="130">
        <f t="shared" ref="AB26:AB40" si="19">Z26*4 +AA26*4</f>
        <v>3.4207899999999999E-2</v>
      </c>
      <c r="AC26" s="26"/>
      <c r="AD26" s="26"/>
      <c r="AE26" s="9"/>
      <c r="AF26" s="9"/>
      <c r="AG26" s="9"/>
      <c r="AH26" s="27"/>
      <c r="AI26" s="28"/>
      <c r="AJ26" s="29"/>
      <c r="AK26" s="30"/>
      <c r="AL26" s="31"/>
      <c r="AM26" s="29"/>
      <c r="AN26" s="28"/>
      <c r="AO26" s="32"/>
      <c r="AP26" s="18"/>
      <c r="AQ26" s="19"/>
      <c r="AS26" t="s">
        <v>186</v>
      </c>
      <c r="AT26" s="26">
        <f>AW17*4</f>
        <v>33.016000000000005</v>
      </c>
      <c r="AU26" s="9"/>
      <c r="AW26" s="9">
        <f>AW23*1</f>
        <v>3.0019999999999998</v>
      </c>
      <c r="AX26" s="7"/>
    </row>
    <row r="27" spans="1:51" ht="24" x14ac:dyDescent="0.3">
      <c r="A27" s="58">
        <f t="shared" si="12"/>
        <v>1.2683889000000002</v>
      </c>
      <c r="B27" s="20">
        <v>3</v>
      </c>
      <c r="C27" s="21">
        <v>0.10138999999999999</v>
      </c>
      <c r="D27" s="22">
        <f t="shared" si="9"/>
        <v>6.2500000000000003E-3</v>
      </c>
      <c r="E27" s="34">
        <f t="shared" si="13"/>
        <v>1.409321</v>
      </c>
      <c r="F27" s="3">
        <f t="shared" ref="F27:H40" si="20">F26</f>
        <v>0.45454545454545453</v>
      </c>
      <c r="G27">
        <f t="shared" si="20"/>
        <v>5.2631578947368418E-2</v>
      </c>
      <c r="H27" s="25">
        <f t="shared" si="20"/>
        <v>4.5454545454545456E-2</v>
      </c>
      <c r="I27" s="134"/>
      <c r="J27" s="7"/>
      <c r="M27" s="83">
        <v>3</v>
      </c>
      <c r="N27" s="94">
        <f t="shared" ref="N27:N40" si="21">N26</f>
        <v>0.9</v>
      </c>
      <c r="O27" s="96">
        <v>0.1</v>
      </c>
      <c r="P27" s="95">
        <v>1</v>
      </c>
      <c r="Q27" s="96">
        <v>0.15</v>
      </c>
      <c r="R27">
        <f t="shared" si="14"/>
        <v>3.2979423992309798E-3</v>
      </c>
      <c r="S27">
        <f t="shared" si="14"/>
        <v>1.2751399143162034E-2</v>
      </c>
      <c r="T27" s="316">
        <f t="shared" si="15"/>
        <v>0.25524321762173419</v>
      </c>
      <c r="U27" s="316">
        <f t="shared" si="15"/>
        <v>0.63719446805666968</v>
      </c>
      <c r="V27" s="134">
        <f t="shared" si="16"/>
        <v>1.2683888999999999</v>
      </c>
      <c r="W27" s="134">
        <f t="shared" si="17"/>
        <v>0.1409321</v>
      </c>
      <c r="X27" s="83">
        <v>3</v>
      </c>
      <c r="Y27" s="125">
        <f t="shared" si="10"/>
        <v>3.5233025000000001E-2</v>
      </c>
      <c r="Z27" s="126">
        <f t="shared" si="11"/>
        <v>3.5233025000000005E-3</v>
      </c>
      <c r="AA27" s="26">
        <f t="shared" si="18"/>
        <v>3.1709722500000002E-2</v>
      </c>
      <c r="AB27" s="130">
        <f t="shared" si="19"/>
        <v>0.1409321</v>
      </c>
      <c r="AC27" s="26"/>
      <c r="AD27" s="26"/>
      <c r="AE27" s="9"/>
      <c r="AF27" s="9"/>
      <c r="AG27" s="9"/>
      <c r="AH27" s="35"/>
      <c r="AI27" s="36"/>
      <c r="AJ27" s="29"/>
      <c r="AK27" s="37"/>
      <c r="AL27" s="35"/>
      <c r="AM27" s="36"/>
      <c r="AN27" s="36"/>
      <c r="AO27" s="32"/>
      <c r="AP27" s="32"/>
      <c r="AQ27" s="38"/>
      <c r="AT27" s="7"/>
      <c r="AU27" s="9"/>
      <c r="AW27" s="7"/>
      <c r="AX27" s="7"/>
    </row>
    <row r="28" spans="1:51" ht="24" x14ac:dyDescent="0.3">
      <c r="A28" s="58">
        <f t="shared" si="12"/>
        <v>0.66590730000000009</v>
      </c>
      <c r="B28" s="20">
        <v>4</v>
      </c>
      <c r="C28" s="21">
        <v>5.323E-2</v>
      </c>
      <c r="D28" s="22">
        <f t="shared" si="9"/>
        <v>6.2500000000000003E-3</v>
      </c>
      <c r="E28" s="34">
        <f t="shared" si="13"/>
        <v>0.73989700000000003</v>
      </c>
      <c r="F28" s="3">
        <f t="shared" si="20"/>
        <v>0.45454545454545453</v>
      </c>
      <c r="G28">
        <f t="shared" si="20"/>
        <v>5.2631578947368418E-2</v>
      </c>
      <c r="H28" s="25">
        <f t="shared" si="20"/>
        <v>4.5454545454545456E-2</v>
      </c>
      <c r="I28" s="134"/>
      <c r="J28" s="7"/>
      <c r="M28" s="83">
        <v>4</v>
      </c>
      <c r="N28" s="94">
        <f t="shared" si="21"/>
        <v>0.9</v>
      </c>
      <c r="O28" s="96">
        <v>0.1</v>
      </c>
      <c r="P28" s="95">
        <v>1</v>
      </c>
      <c r="Q28" s="96">
        <v>0.15</v>
      </c>
      <c r="R28">
        <f t="shared" si="14"/>
        <v>3.2979423992309798E-3</v>
      </c>
      <c r="S28">
        <f t="shared" si="14"/>
        <v>1.2751399143162034E-2</v>
      </c>
      <c r="T28" s="316">
        <f t="shared" si="15"/>
        <v>0.79209031178398248</v>
      </c>
      <c r="U28" s="316">
        <f t="shared" si="15"/>
        <v>0.94399999983397531</v>
      </c>
      <c r="V28" s="134">
        <f t="shared" si="16"/>
        <v>0.66590729999999998</v>
      </c>
      <c r="W28" s="134">
        <f t="shared" si="17"/>
        <v>7.3989700000000005E-2</v>
      </c>
      <c r="X28" s="83">
        <v>4</v>
      </c>
      <c r="Y28" s="125">
        <f t="shared" si="10"/>
        <v>1.8497425000000001E-2</v>
      </c>
      <c r="Z28" s="126">
        <f t="shared" si="11"/>
        <v>1.8497425000000003E-3</v>
      </c>
      <c r="AA28" s="26">
        <f t="shared" si="18"/>
        <v>1.66476825E-2</v>
      </c>
      <c r="AB28" s="130">
        <f t="shared" si="19"/>
        <v>7.3989700000000005E-2</v>
      </c>
      <c r="AC28" s="26"/>
      <c r="AD28" s="26"/>
      <c r="AE28" s="9"/>
      <c r="AF28" s="9"/>
      <c r="AG28" s="9"/>
      <c r="AH28" s="27"/>
      <c r="AI28" s="29"/>
      <c r="AJ28" s="29"/>
      <c r="AK28" s="39"/>
      <c r="AL28" s="27"/>
      <c r="AM28" s="29"/>
      <c r="AN28" s="29"/>
      <c r="AO28" s="29"/>
      <c r="AP28" s="40"/>
      <c r="AQ28" s="39"/>
      <c r="AT28" s="9">
        <f>AW17*3</f>
        <v>24.762000000000004</v>
      </c>
      <c r="AU28" s="9"/>
      <c r="AW28" s="26">
        <f>AW26*2</f>
        <v>6.0039999999999996</v>
      </c>
      <c r="AX28" s="132">
        <f>AX15*2</f>
        <v>9.1999999999999998E-2</v>
      </c>
      <c r="AY28" s="7"/>
    </row>
    <row r="29" spans="1:51" ht="24" x14ac:dyDescent="0.3">
      <c r="A29" s="58">
        <f t="shared" si="12"/>
        <v>0.15574949999999999</v>
      </c>
      <c r="B29" s="33">
        <v>5</v>
      </c>
      <c r="C29" s="21">
        <v>1.2449999999999999E-2</v>
      </c>
      <c r="D29" s="22">
        <f t="shared" si="9"/>
        <v>6.2500000000000003E-3</v>
      </c>
      <c r="E29" s="34">
        <f t="shared" si="13"/>
        <v>0.17305499999999999</v>
      </c>
      <c r="F29" s="3">
        <f t="shared" si="20"/>
        <v>0.45454545454545453</v>
      </c>
      <c r="G29">
        <f t="shared" si="20"/>
        <v>5.2631578947368418E-2</v>
      </c>
      <c r="H29" s="25">
        <f t="shared" si="20"/>
        <v>4.5454545454545456E-2</v>
      </c>
      <c r="I29" s="134"/>
      <c r="J29" s="7"/>
      <c r="M29" s="84">
        <v>5</v>
      </c>
      <c r="N29" s="94">
        <f t="shared" si="21"/>
        <v>0.9</v>
      </c>
      <c r="O29" s="96">
        <v>0.1</v>
      </c>
      <c r="P29" s="95">
        <v>1</v>
      </c>
      <c r="Q29" s="96">
        <v>0.15</v>
      </c>
      <c r="R29">
        <f t="shared" si="14"/>
        <v>3.2979423992309798E-3</v>
      </c>
      <c r="S29">
        <f t="shared" si="14"/>
        <v>1.2751399143162034E-2</v>
      </c>
      <c r="T29" s="316">
        <f t="shared" si="15"/>
        <v>0.23642973166158876</v>
      </c>
      <c r="U29" s="316">
        <f t="shared" si="15"/>
        <v>0.93744088512841783</v>
      </c>
      <c r="V29" s="134">
        <f t="shared" si="16"/>
        <v>0.15574950000000001</v>
      </c>
      <c r="W29" s="134">
        <f t="shared" si="17"/>
        <v>1.7305500000000001E-2</v>
      </c>
      <c r="X29" s="84">
        <v>5</v>
      </c>
      <c r="Y29" s="125">
        <f t="shared" si="10"/>
        <v>4.3263750000000004E-3</v>
      </c>
      <c r="Z29" s="126">
        <f t="shared" si="11"/>
        <v>4.3263750000000005E-4</v>
      </c>
      <c r="AA29" s="26">
        <f t="shared" si="18"/>
        <v>3.8937375000000001E-3</v>
      </c>
      <c r="AB29" s="130">
        <f t="shared" si="19"/>
        <v>1.7305500000000001E-2</v>
      </c>
      <c r="AC29" s="26"/>
      <c r="AD29" s="26"/>
      <c r="AE29" s="9"/>
      <c r="AF29" s="9"/>
      <c r="AG29" s="9"/>
      <c r="AH29" s="17"/>
      <c r="AI29" s="18"/>
      <c r="AJ29" s="18"/>
      <c r="AK29" s="19"/>
      <c r="AL29" s="17"/>
      <c r="AM29" s="18"/>
      <c r="AN29" s="18"/>
      <c r="AO29" s="18"/>
      <c r="AP29" s="18"/>
      <c r="AQ29" s="19"/>
    </row>
    <row r="30" spans="1:51" ht="24" x14ac:dyDescent="0.3">
      <c r="A30" s="58">
        <f t="shared" si="12"/>
        <v>0.9615186</v>
      </c>
      <c r="B30" s="20">
        <v>6</v>
      </c>
      <c r="C30" s="21">
        <v>7.6859999999999998E-2</v>
      </c>
      <c r="D30" s="22">
        <f t="shared" si="9"/>
        <v>6.2500000000000003E-3</v>
      </c>
      <c r="E30" s="34">
        <f t="shared" si="13"/>
        <v>1.068354</v>
      </c>
      <c r="F30" s="3">
        <f t="shared" si="20"/>
        <v>0.45454545454545453</v>
      </c>
      <c r="G30">
        <f t="shared" si="20"/>
        <v>5.2631578947368418E-2</v>
      </c>
      <c r="H30" s="25">
        <f t="shared" si="20"/>
        <v>4.5454545454545456E-2</v>
      </c>
      <c r="I30" s="134"/>
      <c r="J30" s="7"/>
      <c r="M30" s="83">
        <v>6</v>
      </c>
      <c r="N30" s="94">
        <f t="shared" si="21"/>
        <v>0.9</v>
      </c>
      <c r="O30" s="96">
        <v>0.5</v>
      </c>
      <c r="P30" s="95">
        <v>1</v>
      </c>
      <c r="Q30" s="96">
        <v>0.65</v>
      </c>
      <c r="R30">
        <f t="shared" si="14"/>
        <v>3.2979423992309798E-3</v>
      </c>
      <c r="S30">
        <f t="shared" si="14"/>
        <v>8.2325861537202449E-3</v>
      </c>
      <c r="T30" s="316">
        <f t="shared" si="15"/>
        <v>0.81113161818881885</v>
      </c>
      <c r="U30" s="316">
        <f t="shared" si="15"/>
        <v>0.94399933219169718</v>
      </c>
      <c r="V30" s="134">
        <f t="shared" si="16"/>
        <v>0.9615186</v>
      </c>
      <c r="W30" s="134">
        <f t="shared" si="17"/>
        <v>0.53417700000000001</v>
      </c>
      <c r="X30" s="83">
        <v>6</v>
      </c>
      <c r="Y30" s="125">
        <f t="shared" si="10"/>
        <v>0.13354425</v>
      </c>
      <c r="Z30" s="126">
        <f t="shared" si="11"/>
        <v>6.6772125000000002E-2</v>
      </c>
      <c r="AA30" s="26">
        <f t="shared" si="18"/>
        <v>6.6772125000000002E-2</v>
      </c>
      <c r="AB30" s="130">
        <f t="shared" si="19"/>
        <v>0.53417700000000001</v>
      </c>
      <c r="AC30" s="26"/>
      <c r="AD30" s="26"/>
      <c r="AE30" s="9"/>
      <c r="AF30" s="9"/>
      <c r="AG30" s="9"/>
      <c r="AH30" s="17"/>
      <c r="AI30" s="18"/>
      <c r="AJ30" s="18"/>
      <c r="AK30" s="19"/>
      <c r="AL30" s="17"/>
      <c r="AM30" s="18"/>
      <c r="AN30" s="18"/>
      <c r="AO30" s="18"/>
      <c r="AP30" s="41"/>
      <c r="AQ30" s="19"/>
      <c r="AT30">
        <f>AW17*3</f>
        <v>24.762000000000004</v>
      </c>
    </row>
    <row r="31" spans="1:51" ht="24" x14ac:dyDescent="0.3">
      <c r="A31" s="58">
        <f t="shared" si="12"/>
        <v>0.75272670000000008</v>
      </c>
      <c r="B31" s="20">
        <v>7</v>
      </c>
      <c r="C31" s="21">
        <v>6.0170000000000001E-2</v>
      </c>
      <c r="D31" s="22">
        <f t="shared" si="9"/>
        <v>6.2500000000000003E-3</v>
      </c>
      <c r="E31" s="34">
        <f t="shared" si="13"/>
        <v>0.83636300000000008</v>
      </c>
      <c r="F31" s="3">
        <f t="shared" si="20"/>
        <v>0.45454545454545453</v>
      </c>
      <c r="G31">
        <f t="shared" si="20"/>
        <v>5.2631578947368418E-2</v>
      </c>
      <c r="H31" s="25">
        <f t="shared" si="20"/>
        <v>4.5454545454545456E-2</v>
      </c>
      <c r="I31" s="134"/>
      <c r="J31" s="7"/>
      <c r="M31" s="83">
        <v>7</v>
      </c>
      <c r="N31" s="94">
        <f t="shared" si="21"/>
        <v>0.9</v>
      </c>
      <c r="O31" s="96">
        <v>0.5</v>
      </c>
      <c r="P31" s="95">
        <v>1</v>
      </c>
      <c r="Q31" s="96">
        <f>Q30</f>
        <v>0.65</v>
      </c>
      <c r="R31">
        <f t="shared" si="14"/>
        <v>3.2979423992309798E-3</v>
      </c>
      <c r="S31">
        <f t="shared" si="14"/>
        <v>8.2325861537202449E-3</v>
      </c>
      <c r="T31" s="316">
        <f t="shared" si="15"/>
        <v>0.88167023828893942</v>
      </c>
      <c r="U31" s="316">
        <f t="shared" si="15"/>
        <v>0.92817899151643524</v>
      </c>
      <c r="V31" s="134">
        <f t="shared" si="16"/>
        <v>0.75272669999999997</v>
      </c>
      <c r="W31" s="134">
        <f t="shared" si="17"/>
        <v>0.41818150000000004</v>
      </c>
      <c r="X31" s="83">
        <v>7</v>
      </c>
      <c r="Y31" s="125">
        <f t="shared" si="10"/>
        <v>0.10454537500000001</v>
      </c>
      <c r="Z31" s="126">
        <f t="shared" si="11"/>
        <v>5.2272687500000005E-2</v>
      </c>
      <c r="AA31" s="26">
        <f t="shared" si="18"/>
        <v>5.2272687500000005E-2</v>
      </c>
      <c r="AB31" s="130">
        <f t="shared" si="19"/>
        <v>0.41818150000000004</v>
      </c>
      <c r="AC31" s="26"/>
      <c r="AD31" s="26"/>
      <c r="AE31" s="9"/>
      <c r="AF31" s="9"/>
      <c r="AG31" s="9"/>
      <c r="AH31" s="17"/>
      <c r="AI31" s="18"/>
      <c r="AJ31" s="18"/>
      <c r="AK31" s="19"/>
      <c r="AL31" s="17"/>
      <c r="AM31" s="18"/>
      <c r="AN31" s="18"/>
      <c r="AO31" s="18"/>
      <c r="AP31" s="18"/>
      <c r="AQ31" s="19"/>
      <c r="AT31">
        <f>AW17*2</f>
        <v>16.508000000000003</v>
      </c>
      <c r="AW31" s="9">
        <f>AW26*3</f>
        <v>9.0060000000000002</v>
      </c>
    </row>
    <row r="32" spans="1:51" ht="24" x14ac:dyDescent="0.3">
      <c r="A32" s="58">
        <f t="shared" si="12"/>
        <v>1.5482376</v>
      </c>
      <c r="B32" s="33">
        <v>8</v>
      </c>
      <c r="C32" s="21">
        <v>0.12376</v>
      </c>
      <c r="D32" s="22">
        <f t="shared" si="9"/>
        <v>6.2500000000000003E-3</v>
      </c>
      <c r="E32" s="34">
        <f t="shared" si="13"/>
        <v>1.720264</v>
      </c>
      <c r="F32" s="3">
        <f t="shared" si="20"/>
        <v>0.45454545454545453</v>
      </c>
      <c r="G32">
        <f t="shared" si="20"/>
        <v>5.2631578947368418E-2</v>
      </c>
      <c r="H32" s="25">
        <f t="shared" si="20"/>
        <v>4.5454545454545456E-2</v>
      </c>
      <c r="I32" s="134"/>
      <c r="J32" s="7"/>
      <c r="K32">
        <f>0.5*13.9</f>
        <v>6.95</v>
      </c>
      <c r="L32">
        <f>2.3*0.9</f>
        <v>2.0699999999999998</v>
      </c>
      <c r="M32" s="84">
        <v>8</v>
      </c>
      <c r="N32" s="94">
        <f t="shared" si="21"/>
        <v>0.9</v>
      </c>
      <c r="O32" s="96">
        <v>0.5</v>
      </c>
      <c r="P32" s="95">
        <v>1</v>
      </c>
      <c r="Q32" s="96">
        <f t="shared" ref="Q32:Q37" si="22">Q31</f>
        <v>0.65</v>
      </c>
      <c r="R32">
        <f t="shared" si="14"/>
        <v>3.2979423992309798E-3</v>
      </c>
      <c r="S32">
        <f t="shared" si="14"/>
        <v>8.2325861537202449E-3</v>
      </c>
      <c r="T32" s="316">
        <f t="shared" si="15"/>
        <v>0.91969312996712327</v>
      </c>
      <c r="U32" s="316">
        <f t="shared" si="15"/>
        <v>0.94399999999997908</v>
      </c>
      <c r="V32" s="134">
        <f t="shared" si="16"/>
        <v>1.5482376</v>
      </c>
      <c r="W32" s="134">
        <f t="shared" si="17"/>
        <v>0.86013200000000001</v>
      </c>
      <c r="X32" s="84">
        <v>8</v>
      </c>
      <c r="Y32" s="125">
        <f t="shared" si="10"/>
        <v>0.215033</v>
      </c>
      <c r="Z32" s="126">
        <f t="shared" si="11"/>
        <v>0.1075165</v>
      </c>
      <c r="AA32" s="26">
        <f t="shared" si="18"/>
        <v>0.1075165</v>
      </c>
      <c r="AB32" s="130">
        <f t="shared" si="19"/>
        <v>0.86013200000000001</v>
      </c>
      <c r="AC32" s="26"/>
      <c r="AD32" s="26">
        <f>1060*4</f>
        <v>4240</v>
      </c>
      <c r="AE32" s="9">
        <f>875*4</f>
        <v>3500</v>
      </c>
      <c r="AF32" s="9">
        <f>SUM(AD32:AE32)</f>
        <v>7740</v>
      </c>
      <c r="AG32" s="9"/>
      <c r="AH32" s="17"/>
      <c r="AI32" s="18"/>
      <c r="AJ32" s="18"/>
      <c r="AK32" s="19"/>
      <c r="AL32" s="17"/>
      <c r="AM32" s="18"/>
      <c r="AN32" s="18"/>
      <c r="AO32" s="18"/>
      <c r="AP32" s="18"/>
      <c r="AQ32" s="19"/>
    </row>
    <row r="33" spans="1:43" ht="24" x14ac:dyDescent="0.3">
      <c r="A33" s="58">
        <f t="shared" si="12"/>
        <v>2.0003489999999999</v>
      </c>
      <c r="B33" s="20">
        <v>9</v>
      </c>
      <c r="C33" s="21">
        <v>0.15989999999999999</v>
      </c>
      <c r="D33" s="22">
        <f t="shared" si="9"/>
        <v>6.2500000000000003E-3</v>
      </c>
      <c r="E33" s="34">
        <f t="shared" si="13"/>
        <v>2.22261</v>
      </c>
      <c r="F33" s="3">
        <f t="shared" si="20"/>
        <v>0.45454545454545453</v>
      </c>
      <c r="G33">
        <f t="shared" si="20"/>
        <v>5.2631578947368418E-2</v>
      </c>
      <c r="H33" s="25">
        <f t="shared" si="20"/>
        <v>4.5454545454545456E-2</v>
      </c>
      <c r="I33" s="134"/>
      <c r="J33" s="7"/>
      <c r="K33">
        <f>(K32+L32)</f>
        <v>9.02</v>
      </c>
      <c r="M33" s="83">
        <v>9</v>
      </c>
      <c r="N33" s="94">
        <f t="shared" si="21"/>
        <v>0.9</v>
      </c>
      <c r="O33" s="96">
        <v>0.5</v>
      </c>
      <c r="P33" s="95">
        <v>1</v>
      </c>
      <c r="Q33" s="96">
        <f t="shared" si="22"/>
        <v>0.65</v>
      </c>
      <c r="R33">
        <f t="shared" si="14"/>
        <v>3.2979423992309798E-3</v>
      </c>
      <c r="S33">
        <f t="shared" si="14"/>
        <v>8.2325861537202449E-3</v>
      </c>
      <c r="T33" s="316">
        <f t="shared" si="15"/>
        <v>0.93211164882547581</v>
      </c>
      <c r="U33" s="316">
        <f t="shared" si="15"/>
        <v>0.9425348050889224</v>
      </c>
      <c r="V33" s="134">
        <f t="shared" si="16"/>
        <v>2.0003489999999999</v>
      </c>
      <c r="W33" s="134">
        <f t="shared" si="17"/>
        <v>1.111305</v>
      </c>
      <c r="X33" s="83">
        <v>9</v>
      </c>
      <c r="Y33" s="125">
        <f t="shared" si="10"/>
        <v>0.27782625</v>
      </c>
      <c r="Z33" s="126">
        <f t="shared" si="11"/>
        <v>0.138913125</v>
      </c>
      <c r="AA33" s="26">
        <f t="shared" si="18"/>
        <v>0.138913125</v>
      </c>
      <c r="AB33" s="130">
        <f t="shared" si="19"/>
        <v>1.111305</v>
      </c>
      <c r="AC33" s="26"/>
      <c r="AD33" s="26"/>
      <c r="AE33" s="9"/>
      <c r="AF33" s="9"/>
      <c r="AG33" s="9"/>
      <c r="AH33" s="17"/>
      <c r="AI33" s="18"/>
      <c r="AJ33" s="18"/>
      <c r="AK33" s="19"/>
      <c r="AL33" s="17"/>
      <c r="AM33" s="18"/>
      <c r="AN33" s="18"/>
      <c r="AO33" s="18"/>
      <c r="AP33" s="18"/>
      <c r="AQ33" s="19"/>
    </row>
    <row r="34" spans="1:43" ht="24" x14ac:dyDescent="0.3">
      <c r="A34" s="58">
        <f t="shared" si="12"/>
        <v>1.3448250000000002</v>
      </c>
      <c r="B34" s="20">
        <v>10</v>
      </c>
      <c r="C34" s="21">
        <v>0.1075</v>
      </c>
      <c r="D34" s="22">
        <f t="shared" si="9"/>
        <v>6.2500000000000003E-3</v>
      </c>
      <c r="E34" s="34">
        <f t="shared" si="13"/>
        <v>1.4942500000000001</v>
      </c>
      <c r="F34" s="3">
        <f t="shared" si="20"/>
        <v>0.45454545454545453</v>
      </c>
      <c r="G34">
        <f t="shared" si="20"/>
        <v>5.2631578947368418E-2</v>
      </c>
      <c r="H34" s="25">
        <f t="shared" si="20"/>
        <v>4.5454545454545456E-2</v>
      </c>
      <c r="I34" s="134"/>
      <c r="J34" s="7"/>
      <c r="K34">
        <f>K33/(13.9+2.3)</f>
        <v>0.55679012345679013</v>
      </c>
      <c r="M34" s="83">
        <v>10</v>
      </c>
      <c r="N34" s="94">
        <f t="shared" si="21"/>
        <v>0.9</v>
      </c>
      <c r="O34" s="96">
        <v>0.5</v>
      </c>
      <c r="P34" s="95">
        <v>1</v>
      </c>
      <c r="Q34" s="96">
        <f t="shared" si="22"/>
        <v>0.65</v>
      </c>
      <c r="R34">
        <f t="shared" si="14"/>
        <v>3.2979423992309798E-3</v>
      </c>
      <c r="S34">
        <f t="shared" si="14"/>
        <v>8.2325861537202449E-3</v>
      </c>
      <c r="T34" s="316">
        <f t="shared" si="15"/>
        <v>0.93060664045490826</v>
      </c>
      <c r="U34" s="316">
        <f t="shared" si="15"/>
        <v>0.9412273415465181</v>
      </c>
      <c r="V34" s="134">
        <f t="shared" si="16"/>
        <v>1.3448250000000002</v>
      </c>
      <c r="W34" s="134">
        <f t="shared" si="17"/>
        <v>0.74712500000000004</v>
      </c>
      <c r="X34" s="83">
        <v>10</v>
      </c>
      <c r="Y34" s="125">
        <f t="shared" si="10"/>
        <v>0.18678125000000001</v>
      </c>
      <c r="Z34" s="126">
        <f t="shared" si="11"/>
        <v>9.3390625000000005E-2</v>
      </c>
      <c r="AA34" s="26">
        <f t="shared" si="18"/>
        <v>9.3390625000000005E-2</v>
      </c>
      <c r="AB34" s="130">
        <f t="shared" si="19"/>
        <v>0.74712500000000004</v>
      </c>
      <c r="AC34" s="26"/>
      <c r="AD34" s="26"/>
      <c r="AF34" s="131"/>
      <c r="AG34" s="9"/>
      <c r="AH34" s="17"/>
      <c r="AI34" s="18"/>
      <c r="AJ34" s="18"/>
      <c r="AK34" s="19"/>
      <c r="AL34" s="17"/>
      <c r="AM34" s="18"/>
      <c r="AN34" s="18"/>
      <c r="AO34" s="18"/>
      <c r="AP34" s="18"/>
      <c r="AQ34" s="19"/>
    </row>
    <row r="35" spans="1:43" ht="24" x14ac:dyDescent="0.3">
      <c r="A35" s="58">
        <f t="shared" si="12"/>
        <v>0.35628480000000001</v>
      </c>
      <c r="B35" s="33">
        <v>11</v>
      </c>
      <c r="C35" s="21">
        <v>2.8479999999999998E-2</v>
      </c>
      <c r="D35" s="22">
        <f t="shared" si="9"/>
        <v>6.2500000000000003E-3</v>
      </c>
      <c r="E35" s="34">
        <f t="shared" si="13"/>
        <v>0.395872</v>
      </c>
      <c r="F35" s="3">
        <f t="shared" si="20"/>
        <v>0.45454545454545453</v>
      </c>
      <c r="G35">
        <f t="shared" si="20"/>
        <v>5.2631578947368418E-2</v>
      </c>
      <c r="H35" s="25">
        <f t="shared" si="20"/>
        <v>4.5454545454545456E-2</v>
      </c>
      <c r="I35" s="134"/>
      <c r="J35" s="7"/>
      <c r="M35" s="84">
        <v>11</v>
      </c>
      <c r="N35" s="94">
        <f t="shared" si="21"/>
        <v>0.9</v>
      </c>
      <c r="O35" s="96">
        <v>0.5</v>
      </c>
      <c r="P35" s="95">
        <v>1</v>
      </c>
      <c r="Q35" s="96">
        <f t="shared" si="22"/>
        <v>0.65</v>
      </c>
      <c r="R35">
        <f t="shared" si="14"/>
        <v>3.2979423992309798E-3</v>
      </c>
      <c r="S35">
        <f t="shared" si="14"/>
        <v>8.2325861537202449E-3</v>
      </c>
      <c r="T35" s="316">
        <f t="shared" si="15"/>
        <v>0.93836446059029333</v>
      </c>
      <c r="U35" s="316">
        <f t="shared" si="15"/>
        <v>0.9429098511704499</v>
      </c>
      <c r="V35" s="134">
        <f t="shared" si="16"/>
        <v>0.35628480000000001</v>
      </c>
      <c r="W35" s="134">
        <f t="shared" si="17"/>
        <v>0.197936</v>
      </c>
      <c r="X35" s="84">
        <v>11</v>
      </c>
      <c r="Y35" s="125">
        <f t="shared" si="10"/>
        <v>4.9484E-2</v>
      </c>
      <c r="Z35" s="126">
        <f t="shared" si="11"/>
        <v>2.4742E-2</v>
      </c>
      <c r="AA35" s="26">
        <f t="shared" si="18"/>
        <v>2.4742E-2</v>
      </c>
      <c r="AB35" s="130">
        <f t="shared" si="19"/>
        <v>0.197936</v>
      </c>
      <c r="AC35" s="26"/>
      <c r="AD35" s="26"/>
      <c r="AE35" s="9"/>
      <c r="AF35" s="9"/>
      <c r="AG35" s="9"/>
      <c r="AH35" s="17"/>
      <c r="AI35" s="18"/>
      <c r="AJ35" s="18"/>
      <c r="AK35" s="19"/>
      <c r="AL35" s="17"/>
      <c r="AM35" s="18"/>
      <c r="AN35" s="18"/>
      <c r="AO35" s="18"/>
      <c r="AP35" s="18"/>
      <c r="AQ35" s="19"/>
    </row>
    <row r="36" spans="1:43" ht="24" x14ac:dyDescent="0.3">
      <c r="A36" s="58">
        <f t="shared" si="12"/>
        <v>1.5640002000000002</v>
      </c>
      <c r="B36" s="20">
        <v>12</v>
      </c>
      <c r="C36" s="21">
        <v>0.12501999999999999</v>
      </c>
      <c r="D36" s="22">
        <f t="shared" si="9"/>
        <v>6.2500000000000003E-3</v>
      </c>
      <c r="E36" s="34">
        <f t="shared" si="13"/>
        <v>1.737778</v>
      </c>
      <c r="F36" s="3">
        <f t="shared" si="20"/>
        <v>0.45454545454545453</v>
      </c>
      <c r="G36">
        <f t="shared" si="20"/>
        <v>5.2631578947368418E-2</v>
      </c>
      <c r="H36" s="25">
        <f t="shared" si="20"/>
        <v>4.5454545454545456E-2</v>
      </c>
      <c r="I36" s="134"/>
      <c r="J36" s="7"/>
      <c r="M36" s="83">
        <v>12</v>
      </c>
      <c r="N36" s="94">
        <f t="shared" si="21"/>
        <v>0.9</v>
      </c>
      <c r="O36" s="96">
        <v>0.5</v>
      </c>
      <c r="P36" s="95">
        <v>1</v>
      </c>
      <c r="Q36" s="96">
        <f t="shared" si="22"/>
        <v>0.65</v>
      </c>
      <c r="R36">
        <f t="shared" si="14"/>
        <v>3.2979423992309798E-3</v>
      </c>
      <c r="S36">
        <f t="shared" si="14"/>
        <v>8.2325861537202449E-3</v>
      </c>
      <c r="T36" s="316">
        <f t="shared" si="15"/>
        <v>0.92935412057778188</v>
      </c>
      <c r="U36" s="316">
        <f t="shared" si="15"/>
        <v>0.94079859607430616</v>
      </c>
      <c r="V36" s="134">
        <f t="shared" si="16"/>
        <v>1.5640002</v>
      </c>
      <c r="W36" s="134">
        <f t="shared" si="17"/>
        <v>0.86888900000000002</v>
      </c>
      <c r="X36" s="83">
        <v>12</v>
      </c>
      <c r="Y36" s="125">
        <f t="shared" si="10"/>
        <v>0.21722225000000001</v>
      </c>
      <c r="Z36" s="126">
        <f t="shared" si="11"/>
        <v>0.108611125</v>
      </c>
      <c r="AA36" s="26">
        <f t="shared" si="18"/>
        <v>0.108611125</v>
      </c>
      <c r="AB36" s="130">
        <f t="shared" si="19"/>
        <v>0.86888900000000002</v>
      </c>
      <c r="AC36" s="26"/>
      <c r="AD36" s="26">
        <v>74</v>
      </c>
      <c r="AE36" s="9">
        <v>417</v>
      </c>
      <c r="AF36" s="9">
        <v>245</v>
      </c>
      <c r="AG36" s="9">
        <v>31</v>
      </c>
      <c r="AH36" s="17">
        <v>52</v>
      </c>
      <c r="AI36" s="18"/>
      <c r="AJ36" s="18"/>
      <c r="AK36" s="19"/>
      <c r="AL36" s="17"/>
      <c r="AM36" s="18"/>
      <c r="AN36" s="18"/>
      <c r="AO36" s="18"/>
      <c r="AP36" s="18"/>
      <c r="AQ36" s="19"/>
    </row>
    <row r="37" spans="1:43" ht="24" x14ac:dyDescent="0.3">
      <c r="A37" s="58">
        <f t="shared" si="12"/>
        <v>0.78700409999999998</v>
      </c>
      <c r="B37" s="20">
        <v>13</v>
      </c>
      <c r="C37" s="21">
        <v>6.2909999999999994E-2</v>
      </c>
      <c r="D37" s="22">
        <f t="shared" si="9"/>
        <v>6.2500000000000003E-3</v>
      </c>
      <c r="E37" s="34">
        <f t="shared" si="13"/>
        <v>0.87444899999999992</v>
      </c>
      <c r="F37" s="3">
        <f t="shared" si="20"/>
        <v>0.45454545454545453</v>
      </c>
      <c r="G37">
        <f t="shared" si="20"/>
        <v>5.2631578947368418E-2</v>
      </c>
      <c r="H37" s="25">
        <f t="shared" si="20"/>
        <v>4.5454545454545456E-2</v>
      </c>
      <c r="I37" s="134"/>
      <c r="J37" s="7"/>
      <c r="M37" s="83">
        <v>13</v>
      </c>
      <c r="N37" s="94">
        <f t="shared" si="21"/>
        <v>0.9</v>
      </c>
      <c r="O37" s="96">
        <v>0.5</v>
      </c>
      <c r="P37" s="95">
        <v>1</v>
      </c>
      <c r="Q37" s="96">
        <f t="shared" si="22"/>
        <v>0.65</v>
      </c>
      <c r="R37">
        <f t="shared" si="14"/>
        <v>3.2979423992309798E-3</v>
      </c>
      <c r="S37">
        <f t="shared" si="14"/>
        <v>8.2325861537202449E-3</v>
      </c>
      <c r="T37" s="316">
        <f t="shared" si="15"/>
        <v>0.92935412057778188</v>
      </c>
      <c r="U37" s="316">
        <f t="shared" si="15"/>
        <v>0.93979283672927738</v>
      </c>
      <c r="V37" s="134">
        <f t="shared" si="16"/>
        <v>0.78700409999999998</v>
      </c>
      <c r="W37" s="134">
        <f t="shared" si="17"/>
        <v>0.43722449999999996</v>
      </c>
      <c r="X37" s="83">
        <v>13</v>
      </c>
      <c r="Y37" s="125">
        <f t="shared" si="10"/>
        <v>0.10930612499999999</v>
      </c>
      <c r="Z37" s="126">
        <f t="shared" si="11"/>
        <v>5.4653062499999995E-2</v>
      </c>
      <c r="AA37" s="26">
        <f t="shared" si="18"/>
        <v>5.4653062499999995E-2</v>
      </c>
      <c r="AB37" s="130">
        <f t="shared" si="19"/>
        <v>0.43722449999999996</v>
      </c>
      <c r="AC37" s="26"/>
      <c r="AD37" s="26"/>
      <c r="AE37" s="9"/>
      <c r="AF37" s="9"/>
      <c r="AG37" s="9"/>
      <c r="AH37" s="17"/>
      <c r="AI37" s="18"/>
      <c r="AJ37" s="18"/>
      <c r="AK37" s="19"/>
      <c r="AL37" s="17"/>
      <c r="AM37" s="18"/>
      <c r="AN37" s="18"/>
      <c r="AO37" s="18"/>
      <c r="AP37" s="18"/>
      <c r="AQ37" s="19"/>
    </row>
    <row r="38" spans="1:43" ht="24" x14ac:dyDescent="0.3">
      <c r="A38" s="58">
        <f t="shared" si="12"/>
        <v>0.29611170000000003</v>
      </c>
      <c r="B38" s="33">
        <v>14</v>
      </c>
      <c r="C38" s="21">
        <v>2.367E-2</v>
      </c>
      <c r="D38" s="22">
        <f t="shared" si="9"/>
        <v>6.2500000000000003E-3</v>
      </c>
      <c r="E38" s="34">
        <f t="shared" si="13"/>
        <v>0.329013</v>
      </c>
      <c r="F38" s="3">
        <f t="shared" si="20"/>
        <v>0.45454545454545453</v>
      </c>
      <c r="G38">
        <f t="shared" si="20"/>
        <v>5.2631578947368418E-2</v>
      </c>
      <c r="H38" s="25">
        <f t="shared" si="20"/>
        <v>4.5454545454545456E-2</v>
      </c>
      <c r="I38" s="134"/>
      <c r="J38" s="7"/>
      <c r="M38" s="84">
        <v>14</v>
      </c>
      <c r="N38" s="94">
        <f t="shared" si="21"/>
        <v>0.9</v>
      </c>
      <c r="O38" s="96">
        <v>0.5</v>
      </c>
      <c r="P38" s="95">
        <v>1</v>
      </c>
      <c r="Q38" s="96">
        <v>0.65</v>
      </c>
      <c r="R38">
        <f t="shared" si="14"/>
        <v>3.2979423992309798E-3</v>
      </c>
      <c r="S38">
        <f t="shared" si="14"/>
        <v>8.2325861537202449E-3</v>
      </c>
      <c r="T38" s="316">
        <f t="shared" si="15"/>
        <v>0.94096345903297729</v>
      </c>
      <c r="U38" s="316">
        <f t="shared" si="15"/>
        <v>0.94323631065409241</v>
      </c>
      <c r="V38" s="134">
        <f t="shared" si="16"/>
        <v>0.29611169999999998</v>
      </c>
      <c r="W38" s="134">
        <f t="shared" si="17"/>
        <v>0.1645065</v>
      </c>
      <c r="X38" s="84">
        <v>14</v>
      </c>
      <c r="Y38" s="125">
        <f t="shared" si="10"/>
        <v>4.1126625E-2</v>
      </c>
      <c r="Z38" s="126">
        <f t="shared" si="11"/>
        <v>2.05633125E-2</v>
      </c>
      <c r="AA38" s="26">
        <f t="shared" si="18"/>
        <v>2.05633125E-2</v>
      </c>
      <c r="AB38" s="130">
        <f t="shared" si="19"/>
        <v>0.1645065</v>
      </c>
      <c r="AC38" s="26"/>
      <c r="AD38" s="26"/>
      <c r="AE38" s="9"/>
      <c r="AF38" s="9"/>
      <c r="AG38" s="9"/>
      <c r="AH38" s="17"/>
      <c r="AI38" s="18"/>
      <c r="AJ38" s="18"/>
      <c r="AK38" s="19"/>
      <c r="AL38" s="17"/>
      <c r="AM38" s="18"/>
      <c r="AN38" s="18"/>
      <c r="AO38" s="18"/>
      <c r="AP38" s="18"/>
      <c r="AQ38" s="19"/>
    </row>
    <row r="39" spans="1:43" ht="24" x14ac:dyDescent="0.3">
      <c r="A39" s="58">
        <f t="shared" si="12"/>
        <v>0.22017600000000004</v>
      </c>
      <c r="B39" s="20">
        <v>15</v>
      </c>
      <c r="C39" s="21">
        <v>1.7600000000000001E-2</v>
      </c>
      <c r="D39" s="22">
        <f>D40</f>
        <v>6.2500000000000003E-3</v>
      </c>
      <c r="E39" s="34">
        <f t="shared" si="13"/>
        <v>0.24464000000000002</v>
      </c>
      <c r="F39" s="3">
        <f t="shared" si="20"/>
        <v>0.45454545454545453</v>
      </c>
      <c r="G39">
        <f t="shared" si="20"/>
        <v>5.2631578947368418E-2</v>
      </c>
      <c r="H39" s="25">
        <f t="shared" si="20"/>
        <v>4.5454545454545456E-2</v>
      </c>
      <c r="I39" s="134"/>
      <c r="J39" s="7"/>
      <c r="M39" s="83">
        <v>15</v>
      </c>
      <c r="N39" s="94">
        <f t="shared" si="21"/>
        <v>0.9</v>
      </c>
      <c r="O39" s="96">
        <v>0.6</v>
      </c>
      <c r="P39" s="95">
        <v>1</v>
      </c>
      <c r="Q39" s="96">
        <v>0.65</v>
      </c>
      <c r="R39">
        <f t="shared" si="14"/>
        <v>3.2979423992309798E-3</v>
      </c>
      <c r="S39">
        <f t="shared" si="14"/>
        <v>2.5044655621970779E-3</v>
      </c>
      <c r="T39" s="316">
        <f t="shared" si="15"/>
        <v>0.94399599040793469</v>
      </c>
      <c r="U39" s="316">
        <f t="shared" si="15"/>
        <v>0.94399960189874366</v>
      </c>
      <c r="V39" s="134">
        <f t="shared" si="16"/>
        <v>0.22017600000000001</v>
      </c>
      <c r="W39" s="134">
        <f>O39*$C39*$C$22</f>
        <v>0.146784</v>
      </c>
      <c r="X39" s="83">
        <v>15</v>
      </c>
      <c r="Y39" s="125">
        <f t="shared" si="10"/>
        <v>3.6695999999999999E-2</v>
      </c>
      <c r="Z39" s="126">
        <f t="shared" si="11"/>
        <v>2.2017599999999998E-2</v>
      </c>
      <c r="AA39" s="26">
        <f t="shared" si="18"/>
        <v>1.4678400000000001E-2</v>
      </c>
      <c r="AB39" s="130">
        <f t="shared" si="19"/>
        <v>0.146784</v>
      </c>
      <c r="AC39" s="26"/>
      <c r="AD39" s="26">
        <f>122*4</f>
        <v>488</v>
      </c>
      <c r="AE39" s="9">
        <f>153*4</f>
        <v>612</v>
      </c>
      <c r="AF39" s="9">
        <f>AD39+AE39</f>
        <v>1100</v>
      </c>
      <c r="AG39" s="9"/>
      <c r="AH39" s="17"/>
      <c r="AI39" s="18"/>
      <c r="AJ39" s="18"/>
      <c r="AK39" s="19"/>
      <c r="AL39" s="17"/>
      <c r="AM39" s="18"/>
      <c r="AN39" s="18"/>
      <c r="AO39" s="18"/>
      <c r="AP39" s="18"/>
      <c r="AQ39" s="19"/>
    </row>
    <row r="40" spans="1:43" ht="24" x14ac:dyDescent="0.3">
      <c r="A40" s="58">
        <f t="shared" si="12"/>
        <v>0.22055130000000001</v>
      </c>
      <c r="B40" s="20">
        <v>16</v>
      </c>
      <c r="C40" s="21">
        <v>1.763E-2</v>
      </c>
      <c r="D40" s="22">
        <v>6.2500000000000003E-3</v>
      </c>
      <c r="E40" s="42">
        <f>C40*$C$22</f>
        <v>0.245057</v>
      </c>
      <c r="F40" s="3">
        <f t="shared" si="20"/>
        <v>0.45454545454545453</v>
      </c>
      <c r="G40">
        <f t="shared" si="20"/>
        <v>5.2631578947368418E-2</v>
      </c>
      <c r="H40" s="25">
        <f t="shared" si="20"/>
        <v>4.5454545454545456E-2</v>
      </c>
      <c r="I40" s="134"/>
      <c r="J40" s="7"/>
      <c r="M40" s="83">
        <v>16</v>
      </c>
      <c r="N40" s="94">
        <f t="shared" si="21"/>
        <v>0.9</v>
      </c>
      <c r="O40" s="98">
        <v>0.1</v>
      </c>
      <c r="P40" s="97">
        <v>1</v>
      </c>
      <c r="Q40" s="98">
        <v>0.15</v>
      </c>
      <c r="R40">
        <f t="shared" si="14"/>
        <v>3.2979423992309798E-3</v>
      </c>
      <c r="S40">
        <f t="shared" si="14"/>
        <v>1.2751399143162034E-2</v>
      </c>
      <c r="T40" s="316">
        <f t="shared" si="15"/>
        <v>0.89077655324185823</v>
      </c>
      <c r="U40" s="316">
        <f t="shared" si="15"/>
        <v>0.94079515114308276</v>
      </c>
      <c r="V40" s="134">
        <f t="shared" si="16"/>
        <v>0.22055130000000001</v>
      </c>
      <c r="W40" s="134">
        <f>O40*$C40*$C$22</f>
        <v>2.4505700000000002E-2</v>
      </c>
      <c r="X40" s="83">
        <v>16</v>
      </c>
      <c r="Y40" s="125">
        <f t="shared" si="10"/>
        <v>6.1264250000000004E-3</v>
      </c>
      <c r="Z40" s="126">
        <f t="shared" si="11"/>
        <v>6.1264250000000011E-4</v>
      </c>
      <c r="AA40" s="26">
        <f t="shared" si="18"/>
        <v>5.5137825000000007E-3</v>
      </c>
      <c r="AB40" s="130">
        <f t="shared" si="19"/>
        <v>2.4505700000000002E-2</v>
      </c>
      <c r="AC40" s="26"/>
      <c r="AD40" s="5">
        <f>245*4</f>
        <v>980</v>
      </c>
      <c r="AE40" s="9">
        <f>31*4</f>
        <v>124</v>
      </c>
      <c r="AF40" s="9">
        <f>AD40+AE40</f>
        <v>1104</v>
      </c>
      <c r="AG40" s="9"/>
      <c r="AH40" s="43"/>
      <c r="AI40" s="44"/>
      <c r="AJ40" s="44"/>
      <c r="AK40" s="45"/>
      <c r="AL40" s="43"/>
      <c r="AM40" s="46"/>
      <c r="AN40" s="46"/>
      <c r="AO40" s="44"/>
      <c r="AP40" s="44"/>
      <c r="AQ40" s="45"/>
    </row>
    <row r="41" spans="1:43" ht="25" thickBot="1" x14ac:dyDescent="0.35">
      <c r="B41" s="47"/>
      <c r="C41" s="48"/>
      <c r="D41" s="2"/>
      <c r="F41" s="24"/>
      <c r="I41" s="9"/>
      <c r="N41" s="96">
        <f>SUMPRODUCT(N25:N40,$C25:$C40)</f>
        <v>0.90000899999999984</v>
      </c>
      <c r="O41" s="96">
        <f>SUMPRODUCT(O25:O40,$C25:$C40)</f>
        <v>0.41610900000000001</v>
      </c>
      <c r="P41" s="96">
        <f>SUMPRODUCT(P25:P40,$C25:$C40)</f>
        <v>1.0000099999999998</v>
      </c>
      <c r="Q41" s="96">
        <f>SUMPRODUCT(Q25:Q40,$C25:$C40)</f>
        <v>0.54293650000000004</v>
      </c>
      <c r="V41" s="134">
        <f>SUM(V25:V40)</f>
        <v>12.510125100000002</v>
      </c>
      <c r="W41" s="134">
        <f>SUM(W25:W40)</f>
        <v>5.7839151000000006</v>
      </c>
      <c r="Y41" s="125">
        <f t="shared" si="10"/>
        <v>1.4459787750000002</v>
      </c>
      <c r="Z41" s="124"/>
      <c r="AK41" s="5"/>
      <c r="AM41" s="9"/>
    </row>
    <row r="42" spans="1:43" x14ac:dyDescent="0.2">
      <c r="C42" s="9">
        <f>C22*SUM(C25:C41)</f>
        <v>13.900138999999998</v>
      </c>
      <c r="D42" s="22">
        <f>C42*(1+D40)^(2050-2018)</f>
        <v>16.967104365121852</v>
      </c>
      <c r="E42" s="49"/>
      <c r="F42" s="9"/>
      <c r="G42" s="9" t="s">
        <v>27</v>
      </c>
      <c r="H42" s="9"/>
      <c r="I42" s="9">
        <f>SUM(I25:I40)</f>
        <v>0</v>
      </c>
      <c r="J42" s="9">
        <f>SUM(J25:J40)</f>
        <v>0</v>
      </c>
      <c r="K42" s="9"/>
      <c r="L42" s="9"/>
      <c r="M42" s="9"/>
      <c r="N42" s="9"/>
      <c r="O42" s="9"/>
      <c r="P42" s="7"/>
      <c r="S42">
        <f>CORREL(O25:O40,P3:P18)</f>
        <v>0.76361337678483421</v>
      </c>
      <c r="V42" s="9">
        <f>V41/13.9</f>
        <v>0.90000900000000006</v>
      </c>
      <c r="W42" s="132">
        <f>W41/13.9</f>
        <v>0.41610900000000006</v>
      </c>
      <c r="Y42" s="129">
        <f>SUM(Y25:Y41)</f>
        <v>2.8919575500000003</v>
      </c>
      <c r="Z42" s="127"/>
      <c r="AA42" s="5"/>
      <c r="AB42" s="9"/>
      <c r="AC42" s="9"/>
      <c r="AD42" s="9"/>
      <c r="AE42" s="9"/>
      <c r="AF42" s="9"/>
      <c r="AG42" s="9"/>
      <c r="AH42" s="9"/>
    </row>
    <row r="43" spans="1:43" ht="21" x14ac:dyDescent="0.25">
      <c r="A43" s="50" t="s">
        <v>28</v>
      </c>
      <c r="B43" s="50"/>
      <c r="C43" s="51"/>
      <c r="E43" s="52"/>
      <c r="F43" s="9"/>
      <c r="G43" t="s">
        <v>29</v>
      </c>
      <c r="H43" s="9"/>
      <c r="I43" s="9"/>
      <c r="J43" s="9"/>
      <c r="K43" s="9"/>
      <c r="L43" s="9"/>
      <c r="M43" s="9"/>
      <c r="N43" s="9">
        <v>2018</v>
      </c>
      <c r="O43" s="9">
        <v>0.5</v>
      </c>
      <c r="P43" s="9"/>
      <c r="Q43">
        <f>13.9*0.5+ 3*0.8</f>
        <v>9.3500000000000014</v>
      </c>
      <c r="W43" s="9">
        <f>SUM(W25:W42)</f>
        <v>11.983939200000002</v>
      </c>
      <c r="Y43" s="9"/>
      <c r="Z43" s="5"/>
      <c r="AC43" s="9"/>
      <c r="AD43" s="53"/>
      <c r="AE43" s="54"/>
      <c r="AF43" s="55"/>
      <c r="AG43" s="9"/>
      <c r="AK43" s="9"/>
    </row>
    <row r="44" spans="1:43" x14ac:dyDescent="0.2">
      <c r="A44" s="56" t="s">
        <v>30</v>
      </c>
      <c r="G44" t="s">
        <v>31</v>
      </c>
      <c r="H44" s="9"/>
      <c r="N44">
        <v>2050</v>
      </c>
      <c r="O44" s="9">
        <f>O43*2</f>
        <v>1</v>
      </c>
      <c r="Q44">
        <f>Q43/(13.9+3)</f>
        <v>0.55325443786982265</v>
      </c>
      <c r="W44" s="9">
        <f>W43/0.005</f>
        <v>2396.7878400000004</v>
      </c>
      <c r="Y44" s="9">
        <f>Y42*4</f>
        <v>11.567830200000001</v>
      </c>
      <c r="Z44" s="9">
        <f>19300/Y44</f>
        <v>1668.420063773066</v>
      </c>
      <c r="AD44" s="17"/>
      <c r="AE44" s="9">
        <v>172.95</v>
      </c>
      <c r="AF44" s="9">
        <v>86</v>
      </c>
      <c r="AG44" s="9">
        <f>4*AE44+AF44*4</f>
        <v>1035.8</v>
      </c>
    </row>
    <row r="45" spans="1:43" x14ac:dyDescent="0.2">
      <c r="E45" s="49"/>
      <c r="F45" s="49"/>
      <c r="G45" s="8" t="s">
        <v>32</v>
      </c>
      <c r="H45" s="8"/>
      <c r="I45" s="8"/>
      <c r="J45" s="8"/>
      <c r="N45" s="49"/>
      <c r="O45" s="49">
        <f>(O44/O43)^(1/(N44-N43+1))-1</f>
        <v>2.1226606315364105E-2</v>
      </c>
      <c r="AD45" s="17"/>
      <c r="AE45" s="18">
        <v>345</v>
      </c>
      <c r="AF45" s="19">
        <v>173</v>
      </c>
      <c r="AG45" s="9">
        <f>4*AE45+AF45*4</f>
        <v>2072</v>
      </c>
      <c r="AK45" s="9"/>
      <c r="AN45" s="9"/>
    </row>
    <row r="46" spans="1:43" x14ac:dyDescent="0.2">
      <c r="E46" s="57"/>
      <c r="F46" s="58">
        <f>50-18</f>
        <v>32</v>
      </c>
      <c r="G46" s="8" t="s">
        <v>33</v>
      </c>
      <c r="H46" s="8"/>
      <c r="I46" s="8"/>
      <c r="J46" s="8"/>
      <c r="N46" s="58"/>
      <c r="O46" s="58"/>
      <c r="AD46" s="17"/>
      <c r="AE46" s="18">
        <v>345</v>
      </c>
      <c r="AF46" s="19">
        <v>173</v>
      </c>
      <c r="AG46" s="9">
        <f>4*AE46+AF46*4</f>
        <v>2072</v>
      </c>
      <c r="AN46" s="9"/>
    </row>
    <row r="47" spans="1:43" x14ac:dyDescent="0.2">
      <c r="D47" s="58"/>
      <c r="E47" s="59"/>
      <c r="G47" s="8" t="s">
        <v>34</v>
      </c>
      <c r="H47" s="8"/>
      <c r="I47" s="8"/>
      <c r="J47" s="8"/>
      <c r="AD47" s="17"/>
      <c r="AE47" s="18">
        <v>345</v>
      </c>
      <c r="AF47" s="19">
        <v>173</v>
      </c>
      <c r="AG47" s="9">
        <f>4*AE47+AF47*4</f>
        <v>2072</v>
      </c>
    </row>
    <row r="48" spans="1:43" x14ac:dyDescent="0.2">
      <c r="AD48" s="43"/>
      <c r="AE48" s="60">
        <v>518</v>
      </c>
      <c r="AF48" s="61">
        <v>259</v>
      </c>
      <c r="AG48" s="9">
        <f>4*AE48+AF48*4</f>
        <v>3108</v>
      </c>
      <c r="AH48" s="9"/>
    </row>
    <row r="50" spans="30:34" x14ac:dyDescent="0.2">
      <c r="AD50" s="10"/>
      <c r="AE50" s="11"/>
      <c r="AF50" s="13"/>
    </row>
    <row r="51" spans="30:34" x14ac:dyDescent="0.2">
      <c r="AD51" s="17"/>
      <c r="AE51" s="18"/>
      <c r="AF51" s="19"/>
    </row>
    <row r="52" spans="30:34" x14ac:dyDescent="0.2">
      <c r="AD52" s="17"/>
      <c r="AE52" s="18"/>
      <c r="AF52" s="19"/>
    </row>
    <row r="53" spans="30:34" x14ac:dyDescent="0.2">
      <c r="AD53" s="17"/>
      <c r="AE53" s="18"/>
      <c r="AF53" s="19"/>
    </row>
    <row r="54" spans="30:34" x14ac:dyDescent="0.2">
      <c r="AD54" s="17"/>
      <c r="AE54" s="18"/>
      <c r="AF54" s="19"/>
    </row>
    <row r="55" spans="30:34" x14ac:dyDescent="0.2">
      <c r="AD55" s="43"/>
      <c r="AE55" s="62"/>
      <c r="AF55" s="63"/>
      <c r="AG55" s="9"/>
      <c r="AH55" s="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zoomScale="130" zoomScaleNormal="130" zoomScalePageLayoutView="130" workbookViewId="0">
      <selection activeCell="B17" sqref="B17"/>
    </sheetView>
  </sheetViews>
  <sheetFormatPr baseColWidth="10" defaultRowHeight="16" x14ac:dyDescent="0.2"/>
  <cols>
    <col min="3" max="3" width="13.33203125" customWidth="1"/>
    <col min="5" max="5" width="12.83203125" bestFit="1" customWidth="1"/>
    <col min="6" max="6" width="11" bestFit="1" customWidth="1"/>
    <col min="7" max="7" width="12.83203125" bestFit="1" customWidth="1"/>
    <col min="9" max="9" width="8" customWidth="1"/>
    <col min="10" max="10" width="6.1640625" customWidth="1"/>
    <col min="14" max="14" width="12.33203125" customWidth="1"/>
    <col min="15" max="15" width="12.6640625" bestFit="1" customWidth="1"/>
    <col min="16" max="16" width="12" bestFit="1" customWidth="1"/>
    <col min="17" max="17" width="14" bestFit="1" customWidth="1"/>
    <col min="19" max="19" width="11" bestFit="1" customWidth="1"/>
    <col min="20" max="20" width="12.83203125" bestFit="1" customWidth="1"/>
    <col min="21" max="21" width="12" bestFit="1" customWidth="1"/>
    <col min="46" max="46" width="13.83203125" bestFit="1" customWidth="1"/>
  </cols>
  <sheetData>
    <row r="1" spans="1:50" x14ac:dyDescent="0.2">
      <c r="B1" s="1" t="s">
        <v>0</v>
      </c>
      <c r="F1" s="1" t="s">
        <v>1</v>
      </c>
      <c r="L1" s="1" t="s">
        <v>2</v>
      </c>
      <c r="P1" s="1" t="s">
        <v>3</v>
      </c>
      <c r="AH1">
        <v>49135</v>
      </c>
      <c r="AI1">
        <v>6141.8</v>
      </c>
      <c r="AJ1">
        <f>AI1</f>
        <v>6141.8</v>
      </c>
      <c r="AK1">
        <v>4913.3999999999996</v>
      </c>
      <c r="AL1">
        <v>614.17999999999995</v>
      </c>
      <c r="AM1">
        <f>AL1</f>
        <v>614.17999999999995</v>
      </c>
      <c r="AN1">
        <v>545.9</v>
      </c>
      <c r="AO1">
        <v>68.239999999999995</v>
      </c>
      <c r="AP1">
        <f>AO1</f>
        <v>68.239999999999995</v>
      </c>
    </row>
    <row r="2" spans="1:50" x14ac:dyDescent="0.2">
      <c r="A2" s="2" t="s">
        <v>4</v>
      </c>
      <c r="B2" s="2" t="s">
        <v>5</v>
      </c>
      <c r="C2" s="2" t="s">
        <v>6</v>
      </c>
      <c r="D2" s="3" t="s">
        <v>7</v>
      </c>
      <c r="F2" s="4" t="s">
        <v>8</v>
      </c>
      <c r="G2" s="5" t="s">
        <v>9</v>
      </c>
      <c r="H2" s="3" t="s">
        <v>7</v>
      </c>
      <c r="K2" t="s">
        <v>10</v>
      </c>
      <c r="L2" t="s">
        <v>5</v>
      </c>
      <c r="M2" t="s">
        <v>6</v>
      </c>
      <c r="O2" t="s">
        <v>10</v>
      </c>
      <c r="P2" t="s">
        <v>8</v>
      </c>
      <c r="Q2" t="s">
        <v>9</v>
      </c>
      <c r="U2" t="s">
        <v>349</v>
      </c>
      <c r="AH2">
        <v>1</v>
      </c>
      <c r="AI2">
        <v>2</v>
      </c>
      <c r="AJ2">
        <v>22</v>
      </c>
      <c r="AK2">
        <v>3</v>
      </c>
      <c r="AL2">
        <v>4</v>
      </c>
      <c r="AM2">
        <v>44</v>
      </c>
      <c r="AN2">
        <v>5</v>
      </c>
      <c r="AO2">
        <v>6</v>
      </c>
      <c r="AP2">
        <v>66</v>
      </c>
      <c r="AQ2">
        <v>7</v>
      </c>
      <c r="AR2">
        <v>77</v>
      </c>
    </row>
    <row r="3" spans="1:50" x14ac:dyDescent="0.2">
      <c r="A3" s="3">
        <v>1</v>
      </c>
      <c r="B3" s="163">
        <f t="shared" ref="B3:C18" si="0">L3*9/5+32</f>
        <v>4167.3200000000006</v>
      </c>
      <c r="C3" s="163">
        <f t="shared" si="0"/>
        <v>3495.7400000000002</v>
      </c>
      <c r="D3" s="6">
        <f>(C3/B3)^(1/35)-1</f>
        <v>-5.0082185297711801E-3</v>
      </c>
      <c r="E3" s="146">
        <f>(C3/B3)-1</f>
        <v>-0.16115393106360931</v>
      </c>
      <c r="F3" s="4">
        <v>6</v>
      </c>
      <c r="G3" s="159">
        <f t="shared" ref="F3:G18" si="1">Q3*9/5+32</f>
        <v>138.6482</v>
      </c>
      <c r="H3" s="6">
        <f>(G3/F3)^(1/35)-1</f>
        <v>9.3867342740370674E-2</v>
      </c>
      <c r="I3">
        <v>1</v>
      </c>
      <c r="K3">
        <v>1</v>
      </c>
      <c r="L3">
        <v>2297.4</v>
      </c>
      <c r="M3">
        <v>1924.3</v>
      </c>
      <c r="O3">
        <v>1</v>
      </c>
      <c r="P3">
        <v>18.209</v>
      </c>
      <c r="Q3">
        <v>59.249000000000002</v>
      </c>
      <c r="T3" s="8"/>
      <c r="U3" s="8" t="s">
        <v>14</v>
      </c>
      <c r="V3" s="8" t="s">
        <v>110</v>
      </c>
      <c r="W3" s="8" t="s">
        <v>185</v>
      </c>
      <c r="X3" s="8" t="s">
        <v>344</v>
      </c>
      <c r="Y3" s="8" t="s">
        <v>345</v>
      </c>
      <c r="AB3">
        <v>49135</v>
      </c>
      <c r="AD3">
        <v>179346</v>
      </c>
      <c r="AF3" s="5">
        <f>SUM(AH3:AP3)</f>
        <v>3510.3889999999997</v>
      </c>
      <c r="AH3">
        <v>2861.4</v>
      </c>
      <c r="AI3">
        <v>357.7</v>
      </c>
      <c r="AJ3">
        <v>3.97</v>
      </c>
      <c r="AK3">
        <v>244.8</v>
      </c>
      <c r="AL3">
        <v>30.6</v>
      </c>
      <c r="AM3">
        <v>0.4</v>
      </c>
      <c r="AN3">
        <v>10.199999999999999</v>
      </c>
      <c r="AO3">
        <v>1.2749999999999999</v>
      </c>
      <c r="AP3">
        <v>4.3999999999999997E-2</v>
      </c>
    </row>
    <row r="4" spans="1:50" x14ac:dyDescent="0.2">
      <c r="A4" s="3">
        <f>A3+1</f>
        <v>2</v>
      </c>
      <c r="B4" s="163">
        <f t="shared" si="0"/>
        <v>3809.66</v>
      </c>
      <c r="C4" s="163">
        <f t="shared" si="0"/>
        <v>3250.76</v>
      </c>
      <c r="D4" s="6">
        <f t="shared" ref="D4:D18" si="2">(C4/B4)^(1/35)-1</f>
        <v>-4.5226314234696474E-3</v>
      </c>
      <c r="E4" s="146">
        <f t="shared" ref="E4:E18" si="3">(C4/B4)-1</f>
        <v>-0.14670600526031186</v>
      </c>
      <c r="F4" s="4">
        <v>156</v>
      </c>
      <c r="G4" s="159">
        <f t="shared" si="1"/>
        <v>735.60199999999998</v>
      </c>
      <c r="H4" s="6">
        <f t="shared" ref="H4:H18" si="4">(G4/F4)^(1/35)-1</f>
        <v>4.5305848017916484E-2</v>
      </c>
      <c r="I4">
        <v>2</v>
      </c>
      <c r="K4">
        <f>K3+1</f>
        <v>2</v>
      </c>
      <c r="L4">
        <v>2098.6999999999998</v>
      </c>
      <c r="M4">
        <v>1788.2</v>
      </c>
      <c r="O4">
        <f>O3+1</f>
        <v>2</v>
      </c>
      <c r="P4">
        <v>229.02</v>
      </c>
      <c r="Q4">
        <v>390.89</v>
      </c>
      <c r="T4" s="8">
        <v>2020</v>
      </c>
      <c r="U4" s="8">
        <v>0.9</v>
      </c>
      <c r="V4" s="8">
        <v>0.1</v>
      </c>
      <c r="W4" s="8">
        <v>0</v>
      </c>
      <c r="X4" s="8">
        <v>0</v>
      </c>
      <c r="Y4" s="8">
        <f>SUM(U4:X4)</f>
        <v>1</v>
      </c>
      <c r="AB4">
        <v>6141.8</v>
      </c>
      <c r="AD4">
        <v>22418.31</v>
      </c>
      <c r="AW4" t="s">
        <v>183</v>
      </c>
    </row>
    <row r="5" spans="1:50" x14ac:dyDescent="0.2">
      <c r="A5" s="135">
        <f t="shared" ref="A5:A18" si="5">A4+1</f>
        <v>3</v>
      </c>
      <c r="B5" s="164">
        <f t="shared" si="0"/>
        <v>2953.2200000000003</v>
      </c>
      <c r="C5" s="164">
        <f t="shared" si="0"/>
        <v>2331.3200000000002</v>
      </c>
      <c r="D5" s="137">
        <f t="shared" si="2"/>
        <v>-6.7332712493571867E-3</v>
      </c>
      <c r="E5" s="146">
        <f t="shared" si="3"/>
        <v>-0.21058370185763342</v>
      </c>
      <c r="F5" s="136">
        <v>151</v>
      </c>
      <c r="G5" s="160">
        <f t="shared" si="1"/>
        <v>381.45199999999994</v>
      </c>
      <c r="H5" s="6">
        <f t="shared" si="4"/>
        <v>2.6830928747883398E-2</v>
      </c>
      <c r="I5">
        <v>3</v>
      </c>
      <c r="K5">
        <f t="shared" ref="K5:K18" si="6">K4+1</f>
        <v>3</v>
      </c>
      <c r="L5">
        <v>1622.9</v>
      </c>
      <c r="M5">
        <v>1277.4000000000001</v>
      </c>
      <c r="O5">
        <f t="shared" ref="O5:O18" si="7">O4+1</f>
        <v>3</v>
      </c>
      <c r="P5">
        <v>81.004999999999995</v>
      </c>
      <c r="Q5">
        <v>194.14</v>
      </c>
      <c r="T5" s="8">
        <v>2030</v>
      </c>
      <c r="U5" s="8">
        <v>0.9</v>
      </c>
      <c r="V5" s="8">
        <v>0.1</v>
      </c>
      <c r="W5" s="8">
        <v>0</v>
      </c>
      <c r="X5" s="8">
        <v>0</v>
      </c>
      <c r="Y5" s="8">
        <f>SUM(U5:X5)</f>
        <v>1</v>
      </c>
      <c r="AB5">
        <v>4913.3999999999996</v>
      </c>
      <c r="AD5">
        <v>17934.599999999999</v>
      </c>
      <c r="AH5" s="5">
        <f>AH3*10^6/AH1</f>
        <v>58235.473694922155</v>
      </c>
      <c r="AI5" s="5">
        <f t="shared" ref="AI5:AP5" si="8">AI3*10^6/AI1</f>
        <v>58240.25529974926</v>
      </c>
      <c r="AJ5" s="5">
        <f t="shared" si="8"/>
        <v>646.39030902992602</v>
      </c>
      <c r="AK5" s="5">
        <f t="shared" si="8"/>
        <v>49822.9332030773</v>
      </c>
      <c r="AL5" s="5">
        <f t="shared" si="8"/>
        <v>49822.527597772641</v>
      </c>
      <c r="AM5" s="5">
        <f t="shared" si="8"/>
        <v>651.27487055911956</v>
      </c>
      <c r="AN5" s="5">
        <f t="shared" si="8"/>
        <v>18684.740795017402</v>
      </c>
      <c r="AO5" s="5">
        <f t="shared" si="8"/>
        <v>18684.056271981244</v>
      </c>
      <c r="AP5" s="5">
        <f t="shared" si="8"/>
        <v>644.78311840562719</v>
      </c>
      <c r="AR5">
        <v>1</v>
      </c>
      <c r="AS5">
        <v>1</v>
      </c>
      <c r="AT5">
        <v>1</v>
      </c>
      <c r="AU5">
        <v>1</v>
      </c>
      <c r="AV5">
        <f>SUM(AM5:AP5)+2*SUM(AR5:AU5)</f>
        <v>38672.855055963388</v>
      </c>
    </row>
    <row r="6" spans="1:50" x14ac:dyDescent="0.2">
      <c r="A6" s="3">
        <f t="shared" si="5"/>
        <v>4</v>
      </c>
      <c r="B6" s="163">
        <f t="shared" si="0"/>
        <v>2908.2200000000003</v>
      </c>
      <c r="C6" s="163">
        <f t="shared" si="0"/>
        <v>2364.08</v>
      </c>
      <c r="D6" s="6">
        <f t="shared" si="2"/>
        <v>-5.9011556695376388E-3</v>
      </c>
      <c r="E6" s="146">
        <f t="shared" si="3"/>
        <v>-0.18710413930170355</v>
      </c>
      <c r="F6" s="4">
        <v>98</v>
      </c>
      <c r="G6" s="159">
        <f t="shared" si="1"/>
        <v>1088.546</v>
      </c>
      <c r="H6" s="6">
        <f t="shared" si="4"/>
        <v>7.1210639281108268E-2</v>
      </c>
      <c r="I6">
        <v>4</v>
      </c>
      <c r="K6">
        <f t="shared" si="6"/>
        <v>4</v>
      </c>
      <c r="L6">
        <v>1597.9</v>
      </c>
      <c r="M6">
        <v>1295.5999999999999</v>
      </c>
      <c r="O6">
        <f t="shared" si="7"/>
        <v>4</v>
      </c>
      <c r="P6">
        <v>362.81</v>
      </c>
      <c r="Q6">
        <v>586.97</v>
      </c>
      <c r="T6" s="8">
        <v>2040</v>
      </c>
      <c r="U6" s="8">
        <v>0.9</v>
      </c>
      <c r="V6" s="8">
        <v>0.1</v>
      </c>
      <c r="W6" s="8">
        <v>0</v>
      </c>
      <c r="X6" s="8">
        <v>0</v>
      </c>
      <c r="Y6" s="8">
        <f>SUM(U6:X6)</f>
        <v>1</v>
      </c>
      <c r="AB6">
        <v>614.17999999999995</v>
      </c>
      <c r="AD6">
        <v>2241.8000000000002</v>
      </c>
      <c r="AR6">
        <v>1</v>
      </c>
      <c r="AS6">
        <v>1</v>
      </c>
      <c r="AT6">
        <v>1</v>
      </c>
      <c r="AU6">
        <v>1</v>
      </c>
      <c r="AV6">
        <f>SUM(AM6:AP6)+2*SUM(AR6:AU6)</f>
        <v>8</v>
      </c>
    </row>
    <row r="7" spans="1:50" x14ac:dyDescent="0.2">
      <c r="A7" s="3">
        <f t="shared" si="5"/>
        <v>5</v>
      </c>
      <c r="B7" s="163">
        <f t="shared" si="0"/>
        <v>3030.98</v>
      </c>
      <c r="C7" s="163">
        <f t="shared" si="0"/>
        <v>2357.6</v>
      </c>
      <c r="D7" s="6">
        <f t="shared" si="2"/>
        <v>-7.152635755446668E-3</v>
      </c>
      <c r="E7" s="146">
        <f t="shared" si="3"/>
        <v>-0.22216576816739142</v>
      </c>
      <c r="F7" s="4">
        <v>37</v>
      </c>
      <c r="G7" s="159">
        <f t="shared" si="1"/>
        <v>381.38</v>
      </c>
      <c r="H7" s="6">
        <f t="shared" si="4"/>
        <v>6.8925209856081304E-2</v>
      </c>
      <c r="I7">
        <v>5</v>
      </c>
      <c r="K7">
        <f t="shared" si="6"/>
        <v>5</v>
      </c>
      <c r="L7">
        <v>1666.1</v>
      </c>
      <c r="M7">
        <v>1292</v>
      </c>
      <c r="O7">
        <f t="shared" si="7"/>
        <v>5</v>
      </c>
      <c r="P7">
        <v>75.980999999999995</v>
      </c>
      <c r="Q7">
        <v>194.1</v>
      </c>
      <c r="T7" s="8">
        <v>2050</v>
      </c>
      <c r="U7" s="8">
        <v>0.9</v>
      </c>
      <c r="V7" s="8">
        <v>0.1</v>
      </c>
      <c r="W7" s="8">
        <v>0</v>
      </c>
      <c r="X7" s="8">
        <v>0</v>
      </c>
      <c r="Y7" s="8">
        <f>SUM(U7:X7)</f>
        <v>1</v>
      </c>
      <c r="AB7">
        <v>545.9</v>
      </c>
      <c r="AD7">
        <v>1992.7</v>
      </c>
      <c r="AR7">
        <v>1</v>
      </c>
      <c r="AS7">
        <v>1</v>
      </c>
      <c r="AT7">
        <v>1</v>
      </c>
      <c r="AU7">
        <v>1</v>
      </c>
      <c r="AV7">
        <f>SUM(AM7:AP7)+2*SUM(AR7:AU7)</f>
        <v>8</v>
      </c>
    </row>
    <row r="8" spans="1:50" x14ac:dyDescent="0.2">
      <c r="A8" s="3">
        <f t="shared" si="5"/>
        <v>6</v>
      </c>
      <c r="B8" s="164">
        <f t="shared" si="0"/>
        <v>1500.26</v>
      </c>
      <c r="C8" s="164">
        <f t="shared" si="0"/>
        <v>1055.876</v>
      </c>
      <c r="D8" s="137">
        <f t="shared" si="2"/>
        <v>-9.9860244221436911E-3</v>
      </c>
      <c r="E8" s="146">
        <f t="shared" si="3"/>
        <v>-0.29620465785930439</v>
      </c>
      <c r="F8" s="136">
        <v>174</v>
      </c>
      <c r="G8" s="160">
        <f t="shared" si="1"/>
        <v>1149.8899999999999</v>
      </c>
      <c r="H8" s="6">
        <f t="shared" si="4"/>
        <v>5.5435335255767937E-2</v>
      </c>
      <c r="I8">
        <v>6</v>
      </c>
      <c r="K8">
        <f t="shared" si="6"/>
        <v>6</v>
      </c>
      <c r="L8">
        <v>815.7</v>
      </c>
      <c r="M8">
        <v>568.82000000000005</v>
      </c>
      <c r="O8">
        <f t="shared" si="7"/>
        <v>6</v>
      </c>
      <c r="P8">
        <v>380.06</v>
      </c>
      <c r="Q8">
        <v>621.04999999999995</v>
      </c>
      <c r="AB8">
        <v>68.239999999999995</v>
      </c>
      <c r="AD8">
        <v>249.09</v>
      </c>
      <c r="AR8">
        <v>1</v>
      </c>
      <c r="AS8">
        <v>1</v>
      </c>
      <c r="AT8">
        <v>1</v>
      </c>
      <c r="AU8">
        <v>1</v>
      </c>
      <c r="AV8">
        <f>SUM(AM8:AP8)+2*SUM(AR8:AU8)</f>
        <v>8</v>
      </c>
    </row>
    <row r="9" spans="1:50" x14ac:dyDescent="0.2">
      <c r="A9" s="3">
        <f t="shared" si="5"/>
        <v>7</v>
      </c>
      <c r="B9" s="163">
        <f t="shared" si="0"/>
        <v>1274.9000000000001</v>
      </c>
      <c r="C9" s="163">
        <f t="shared" si="0"/>
        <v>828.8599999999999</v>
      </c>
      <c r="D9" s="6">
        <f t="shared" si="2"/>
        <v>-1.2226689425057335E-2</v>
      </c>
      <c r="E9" s="146">
        <f t="shared" si="3"/>
        <v>-0.34986273433210457</v>
      </c>
      <c r="F9" s="4">
        <f t="shared" si="1"/>
        <v>1059.9079999999999</v>
      </c>
      <c r="G9" s="165">
        <f t="shared" si="1"/>
        <v>1555.502</v>
      </c>
      <c r="H9" s="170">
        <f t="shared" si="4"/>
        <v>1.1020749106555483E-2</v>
      </c>
      <c r="I9">
        <v>7</v>
      </c>
      <c r="K9">
        <f t="shared" si="6"/>
        <v>7</v>
      </c>
      <c r="L9">
        <v>690.5</v>
      </c>
      <c r="M9">
        <v>442.7</v>
      </c>
      <c r="O9">
        <f t="shared" si="7"/>
        <v>7</v>
      </c>
      <c r="P9">
        <v>571.05999999999995</v>
      </c>
      <c r="Q9">
        <v>846.39</v>
      </c>
      <c r="T9">
        <f>11492.14/29.3</f>
        <v>392.22320819112628</v>
      </c>
      <c r="AR9">
        <v>1</v>
      </c>
      <c r="AS9">
        <v>1</v>
      </c>
      <c r="AT9">
        <v>1</v>
      </c>
      <c r="AU9">
        <v>1</v>
      </c>
      <c r="AV9">
        <f>SUM(AM9:AP9)+2*SUM(AR9:AU9)</f>
        <v>8</v>
      </c>
    </row>
    <row r="10" spans="1:50" x14ac:dyDescent="0.2">
      <c r="A10" s="3">
        <f t="shared" si="5"/>
        <v>8</v>
      </c>
      <c r="B10" s="163">
        <f t="shared" si="0"/>
        <v>1294.3399999999999</v>
      </c>
      <c r="C10" s="163">
        <f t="shared" si="0"/>
        <v>853.84400000000005</v>
      </c>
      <c r="D10" s="6">
        <f t="shared" si="2"/>
        <v>-1.1815575163615311E-2</v>
      </c>
      <c r="E10" s="146">
        <f t="shared" si="3"/>
        <v>-0.34032479873912569</v>
      </c>
      <c r="F10" s="4">
        <v>215</v>
      </c>
      <c r="G10" s="168">
        <f t="shared" si="1"/>
        <v>1757.03</v>
      </c>
      <c r="H10" s="6">
        <f t="shared" si="4"/>
        <v>6.1859061798504644E-2</v>
      </c>
      <c r="I10">
        <v>8</v>
      </c>
      <c r="J10">
        <f>(I10)^(1/35)-1</f>
        <v>6.1213023333372751E-2</v>
      </c>
      <c r="K10">
        <f t="shared" si="6"/>
        <v>8</v>
      </c>
      <c r="L10">
        <v>701.3</v>
      </c>
      <c r="M10">
        <v>456.58</v>
      </c>
      <c r="O10">
        <f t="shared" si="7"/>
        <v>8</v>
      </c>
      <c r="P10">
        <v>647.15</v>
      </c>
      <c r="Q10">
        <v>958.35</v>
      </c>
    </row>
    <row r="11" spans="1:50" x14ac:dyDescent="0.2">
      <c r="A11" s="3">
        <f t="shared" si="5"/>
        <v>9</v>
      </c>
      <c r="B11" s="164">
        <f t="shared" si="0"/>
        <v>1409.18</v>
      </c>
      <c r="C11" s="164">
        <f t="shared" si="0"/>
        <v>929.42600000000004</v>
      </c>
      <c r="D11" s="137">
        <f t="shared" si="2"/>
        <v>-1.1820893790119524E-2</v>
      </c>
      <c r="E11" s="146">
        <f t="shared" si="3"/>
        <v>-0.34044905547907289</v>
      </c>
      <c r="F11" s="136">
        <f t="shared" si="1"/>
        <v>1445.3420000000001</v>
      </c>
      <c r="G11" s="160">
        <f t="shared" si="1"/>
        <v>2104.6999999999998</v>
      </c>
      <c r="H11" s="6">
        <f t="shared" si="4"/>
        <v>1.0795771652960306E-2</v>
      </c>
      <c r="I11">
        <v>9</v>
      </c>
      <c r="K11">
        <f t="shared" si="6"/>
        <v>9</v>
      </c>
      <c r="L11">
        <v>765.1</v>
      </c>
      <c r="M11">
        <v>498.57</v>
      </c>
      <c r="O11">
        <f t="shared" si="7"/>
        <v>9</v>
      </c>
      <c r="P11">
        <v>785.19</v>
      </c>
      <c r="Q11">
        <v>1151.5</v>
      </c>
      <c r="AB11">
        <f>SUM(AB3:AB9)/10^6</f>
        <v>6.1418520000000004E-2</v>
      </c>
      <c r="AD11">
        <f>SUM(AD3:AD9)/10^6</f>
        <v>0.22418250000000001</v>
      </c>
    </row>
    <row r="12" spans="1:50" x14ac:dyDescent="0.2">
      <c r="A12" s="3">
        <f t="shared" si="5"/>
        <v>10</v>
      </c>
      <c r="B12" s="163">
        <f t="shared" si="0"/>
        <v>1615.424</v>
      </c>
      <c r="C12" s="163">
        <f t="shared" si="0"/>
        <v>1088.7260000000001</v>
      </c>
      <c r="D12" s="6">
        <f t="shared" si="2"/>
        <v>-1.1210665587023105E-2</v>
      </c>
      <c r="E12" s="146">
        <f t="shared" si="3"/>
        <v>-0.32604319361356515</v>
      </c>
      <c r="F12" s="169">
        <f t="shared" si="1"/>
        <v>1729.5079999999998</v>
      </c>
      <c r="G12" s="159">
        <f t="shared" si="1"/>
        <v>2338.88</v>
      </c>
      <c r="H12" s="6">
        <f t="shared" si="4"/>
        <v>8.6611556982227889E-3</v>
      </c>
      <c r="I12">
        <v>10</v>
      </c>
      <c r="K12">
        <f t="shared" si="6"/>
        <v>10</v>
      </c>
      <c r="L12">
        <v>879.68</v>
      </c>
      <c r="M12">
        <v>587.07000000000005</v>
      </c>
      <c r="O12">
        <f t="shared" si="7"/>
        <v>10</v>
      </c>
      <c r="P12">
        <v>943.06</v>
      </c>
      <c r="Q12">
        <v>1281.5999999999999</v>
      </c>
    </row>
    <row r="13" spans="1:50" x14ac:dyDescent="0.2">
      <c r="A13" s="3">
        <f t="shared" si="5"/>
        <v>11</v>
      </c>
      <c r="B13" s="163">
        <f t="shared" si="0"/>
        <v>2600.42</v>
      </c>
      <c r="C13" s="163">
        <f t="shared" si="0"/>
        <v>2161.7600000000002</v>
      </c>
      <c r="D13" s="6">
        <f t="shared" si="2"/>
        <v>-5.2646718030248119E-3</v>
      </c>
      <c r="E13" s="146">
        <f t="shared" si="3"/>
        <v>-0.16868813499357793</v>
      </c>
      <c r="F13" s="4">
        <f t="shared" si="1"/>
        <v>1790.4920000000002</v>
      </c>
      <c r="G13" s="159">
        <f t="shared" si="1"/>
        <v>2341.7600000000002</v>
      </c>
      <c r="H13" s="6">
        <f t="shared" si="4"/>
        <v>7.6984055417443908E-3</v>
      </c>
      <c r="I13">
        <v>11</v>
      </c>
      <c r="K13">
        <f t="shared" si="6"/>
        <v>11</v>
      </c>
      <c r="L13">
        <v>1426.9</v>
      </c>
      <c r="M13">
        <v>1183.2</v>
      </c>
      <c r="O13">
        <f t="shared" si="7"/>
        <v>11</v>
      </c>
      <c r="P13">
        <v>976.94</v>
      </c>
      <c r="Q13">
        <v>1283.2</v>
      </c>
    </row>
    <row r="14" spans="1:50" x14ac:dyDescent="0.2">
      <c r="A14" s="3">
        <f t="shared" si="5"/>
        <v>12</v>
      </c>
      <c r="B14" s="164">
        <f t="shared" si="0"/>
        <v>2384.7799999999997</v>
      </c>
      <c r="C14" s="164">
        <f t="shared" si="0"/>
        <v>1939.4600000000003</v>
      </c>
      <c r="D14" s="137">
        <f t="shared" si="2"/>
        <v>-5.8882329488644247E-3</v>
      </c>
      <c r="E14" s="146">
        <f t="shared" si="3"/>
        <v>-0.18673420609028901</v>
      </c>
      <c r="F14" s="166">
        <f t="shared" si="1"/>
        <v>1617.962</v>
      </c>
      <c r="G14" s="160">
        <f t="shared" si="1"/>
        <v>2179.58</v>
      </c>
      <c r="H14" s="6">
        <f t="shared" si="4"/>
        <v>8.5496228983661382E-3</v>
      </c>
      <c r="I14">
        <v>12</v>
      </c>
      <c r="K14">
        <f t="shared" si="6"/>
        <v>12</v>
      </c>
      <c r="L14">
        <v>1307.0999999999999</v>
      </c>
      <c r="M14">
        <v>1059.7</v>
      </c>
      <c r="O14">
        <f t="shared" si="7"/>
        <v>12</v>
      </c>
      <c r="P14">
        <v>881.09</v>
      </c>
      <c r="Q14">
        <v>1193.0999999999999</v>
      </c>
    </row>
    <row r="15" spans="1:50" x14ac:dyDescent="0.2">
      <c r="A15" s="3">
        <f t="shared" si="5"/>
        <v>13</v>
      </c>
      <c r="B15" s="163">
        <f t="shared" si="0"/>
        <v>2217.7399999999998</v>
      </c>
      <c r="C15" s="163">
        <f t="shared" si="0"/>
        <v>1782.23</v>
      </c>
      <c r="D15" s="6">
        <f t="shared" si="2"/>
        <v>-6.2269110770333258E-3</v>
      </c>
      <c r="E15" s="146">
        <f t="shared" si="3"/>
        <v>-0.1963755895641508</v>
      </c>
      <c r="F15" s="167">
        <f t="shared" si="1"/>
        <v>2172.02</v>
      </c>
      <c r="G15" s="168">
        <f t="shared" si="1"/>
        <v>2790.5</v>
      </c>
      <c r="H15" s="6">
        <f t="shared" si="4"/>
        <v>7.1846345598753913E-3</v>
      </c>
      <c r="I15">
        <v>13</v>
      </c>
      <c r="J15" s="5"/>
      <c r="K15">
        <f t="shared" si="6"/>
        <v>13</v>
      </c>
      <c r="L15">
        <v>1214.3</v>
      </c>
      <c r="M15">
        <v>972.35</v>
      </c>
      <c r="O15">
        <f t="shared" si="7"/>
        <v>13</v>
      </c>
      <c r="P15">
        <v>1188.9000000000001</v>
      </c>
      <c r="Q15">
        <v>1532.5</v>
      </c>
      <c r="AS15" t="s">
        <v>16</v>
      </c>
      <c r="AT15">
        <v>36.68</v>
      </c>
      <c r="AU15">
        <v>0.23</v>
      </c>
      <c r="AW15">
        <f>AT15/5</f>
        <v>7.3360000000000003</v>
      </c>
      <c r="AX15">
        <f>AU15/5</f>
        <v>4.5999999999999999E-2</v>
      </c>
    </row>
    <row r="16" spans="1:50" x14ac:dyDescent="0.2">
      <c r="A16" s="3">
        <f t="shared" si="5"/>
        <v>14</v>
      </c>
      <c r="B16" s="163">
        <f t="shared" si="0"/>
        <v>2145.02</v>
      </c>
      <c r="C16" s="163">
        <f t="shared" si="0"/>
        <v>1624.2260000000001</v>
      </c>
      <c r="D16" s="6">
        <f t="shared" si="2"/>
        <v>-7.9147260648998463E-3</v>
      </c>
      <c r="E16" s="146">
        <f t="shared" si="3"/>
        <v>-0.24279214179821162</v>
      </c>
      <c r="F16" s="169">
        <f t="shared" si="1"/>
        <v>2859.62</v>
      </c>
      <c r="G16" s="159">
        <f t="shared" si="1"/>
        <v>3522.56</v>
      </c>
      <c r="H16" s="6">
        <f t="shared" si="4"/>
        <v>5.9749003376856624E-3</v>
      </c>
      <c r="I16">
        <v>14</v>
      </c>
      <c r="K16">
        <f t="shared" si="6"/>
        <v>14</v>
      </c>
      <c r="L16">
        <v>1173.9000000000001</v>
      </c>
      <c r="M16">
        <v>884.57</v>
      </c>
      <c r="O16">
        <f t="shared" si="7"/>
        <v>14</v>
      </c>
      <c r="P16">
        <v>1570.9</v>
      </c>
      <c r="Q16">
        <v>1939.2</v>
      </c>
      <c r="AS16" t="s">
        <v>103</v>
      </c>
      <c r="AU16">
        <v>0.12</v>
      </c>
      <c r="AW16">
        <f>AT16/5</f>
        <v>0</v>
      </c>
      <c r="AX16">
        <f>AU16/5</f>
        <v>2.4E-2</v>
      </c>
    </row>
    <row r="17" spans="1:51" x14ac:dyDescent="0.2">
      <c r="A17" s="3">
        <f t="shared" si="5"/>
        <v>15</v>
      </c>
      <c r="B17" s="164">
        <f t="shared" si="0"/>
        <v>1012.856</v>
      </c>
      <c r="C17" s="164">
        <f t="shared" si="0"/>
        <v>660.90199999999993</v>
      </c>
      <c r="D17" s="137">
        <f t="shared" si="2"/>
        <v>-1.2123730226354712E-2</v>
      </c>
      <c r="E17" s="146">
        <f t="shared" si="3"/>
        <v>-0.34748671084537197</v>
      </c>
      <c r="F17" s="138">
        <f t="shared" si="1"/>
        <v>4222.76</v>
      </c>
      <c r="G17" s="160">
        <f t="shared" si="1"/>
        <v>4997.84</v>
      </c>
      <c r="H17" s="6">
        <f t="shared" si="4"/>
        <v>4.8263775170049872E-3</v>
      </c>
      <c r="I17">
        <v>15</v>
      </c>
      <c r="K17">
        <f t="shared" si="6"/>
        <v>15</v>
      </c>
      <c r="L17">
        <v>544.91999999999996</v>
      </c>
      <c r="M17">
        <v>349.39</v>
      </c>
      <c r="O17">
        <f t="shared" si="7"/>
        <v>15</v>
      </c>
      <c r="P17">
        <v>2328.1999999999998</v>
      </c>
      <c r="Q17">
        <v>2758.8</v>
      </c>
      <c r="AS17" t="s">
        <v>15</v>
      </c>
      <c r="AT17">
        <v>41.27</v>
      </c>
      <c r="AW17">
        <f>AT17/5</f>
        <v>8.2540000000000013</v>
      </c>
    </row>
    <row r="18" spans="1:51" x14ac:dyDescent="0.2">
      <c r="A18" s="3">
        <f t="shared" si="5"/>
        <v>16</v>
      </c>
      <c r="B18" s="163">
        <f t="shared" si="0"/>
        <v>5874.6200000000008</v>
      </c>
      <c r="C18" s="163">
        <f t="shared" si="0"/>
        <v>5048.78</v>
      </c>
      <c r="D18" s="6">
        <f t="shared" si="2"/>
        <v>-4.3190672323588641E-3</v>
      </c>
      <c r="E18" s="146">
        <f t="shared" si="3"/>
        <v>-0.14057760331732116</v>
      </c>
      <c r="F18" s="4">
        <f t="shared" si="1"/>
        <v>321.49400000000003</v>
      </c>
      <c r="G18" s="159">
        <f t="shared" si="1"/>
        <v>613.81400000000008</v>
      </c>
      <c r="H18" s="6">
        <f t="shared" si="4"/>
        <v>1.864928188319892E-2</v>
      </c>
      <c r="I18">
        <v>16</v>
      </c>
      <c r="K18">
        <f t="shared" si="6"/>
        <v>16</v>
      </c>
      <c r="L18">
        <v>3245.9</v>
      </c>
      <c r="M18">
        <v>2787.1</v>
      </c>
      <c r="O18">
        <f t="shared" si="7"/>
        <v>16</v>
      </c>
      <c r="P18">
        <v>160.83000000000001</v>
      </c>
      <c r="Q18">
        <v>323.23</v>
      </c>
      <c r="W18">
        <f>62*4</f>
        <v>248</v>
      </c>
      <c r="AS18" t="s">
        <v>63</v>
      </c>
      <c r="AT18">
        <v>21.5</v>
      </c>
      <c r="AU18" t="s">
        <v>184</v>
      </c>
      <c r="AW18">
        <f>AT18/5</f>
        <v>4.3</v>
      </c>
    </row>
    <row r="19" spans="1:51" x14ac:dyDescent="0.2">
      <c r="W19">
        <f>8*4</f>
        <v>32</v>
      </c>
      <c r="AS19" t="s">
        <v>64</v>
      </c>
      <c r="AT19">
        <v>19.11</v>
      </c>
      <c r="AW19">
        <f>AT19/5</f>
        <v>3.8220000000000001</v>
      </c>
    </row>
    <row r="20" spans="1:51" x14ac:dyDescent="0.2">
      <c r="B20">
        <v>1</v>
      </c>
      <c r="C20">
        <v>2</v>
      </c>
      <c r="D20" s="7">
        <v>3</v>
      </c>
      <c r="E20">
        <v>4</v>
      </c>
      <c r="F20">
        <v>5</v>
      </c>
      <c r="G20" s="7">
        <v>6</v>
      </c>
      <c r="H20">
        <v>7</v>
      </c>
      <c r="I20">
        <v>8</v>
      </c>
      <c r="J20" s="7">
        <v>9</v>
      </c>
      <c r="K20">
        <v>10</v>
      </c>
      <c r="L20">
        <v>11</v>
      </c>
      <c r="M20" s="7">
        <v>12</v>
      </c>
      <c r="N20">
        <v>13</v>
      </c>
      <c r="O20">
        <v>14</v>
      </c>
      <c r="P20" s="7">
        <v>15</v>
      </c>
      <c r="Q20">
        <v>16</v>
      </c>
      <c r="R20">
        <v>17</v>
      </c>
      <c r="S20" s="7">
        <v>18</v>
      </c>
      <c r="T20">
        <v>19</v>
      </c>
      <c r="U20" s="7">
        <v>20</v>
      </c>
      <c r="V20">
        <v>21</v>
      </c>
      <c r="W20" s="7">
        <v>22</v>
      </c>
      <c r="X20">
        <v>0.1</v>
      </c>
      <c r="Y20">
        <v>0.2</v>
      </c>
      <c r="Z20">
        <v>0.2</v>
      </c>
      <c r="AA20">
        <v>0.2</v>
      </c>
      <c r="AB20">
        <v>0.3</v>
      </c>
    </row>
    <row r="21" spans="1:51" x14ac:dyDescent="0.2">
      <c r="AS21" t="s">
        <v>82</v>
      </c>
      <c r="AT21">
        <v>28.01</v>
      </c>
      <c r="AU21">
        <v>0.23</v>
      </c>
      <c r="AW21">
        <f>AT21/5</f>
        <v>5.6020000000000003</v>
      </c>
      <c r="AX21">
        <f>AU21/5</f>
        <v>4.5999999999999999E-2</v>
      </c>
    </row>
    <row r="22" spans="1:51" ht="21" x14ac:dyDescent="0.25">
      <c r="B22" s="161" t="s">
        <v>340</v>
      </c>
      <c r="C22" s="162">
        <f>13.9*(1-0)</f>
        <v>13.9</v>
      </c>
      <c r="D22" s="8" t="s">
        <v>11</v>
      </c>
      <c r="E22" s="8"/>
      <c r="F22" s="8"/>
      <c r="G22" s="8"/>
      <c r="X22" t="s">
        <v>14</v>
      </c>
      <c r="Y22">
        <v>0.5</v>
      </c>
    </row>
    <row r="23" spans="1:51" ht="17" thickBot="1" x14ac:dyDescent="0.25">
      <c r="D23" s="8" t="s">
        <v>13</v>
      </c>
      <c r="E23" s="8"/>
      <c r="F23" s="8"/>
      <c r="G23" s="8"/>
      <c r="H23" s="8"/>
      <c r="I23" s="8"/>
      <c r="J23" s="8"/>
      <c r="M23" s="8"/>
      <c r="N23" s="8" t="s">
        <v>79</v>
      </c>
      <c r="O23" s="8"/>
      <c r="P23" s="8"/>
      <c r="Q23" s="8"/>
      <c r="W23">
        <v>5.0000000000000001E-3</v>
      </c>
      <c r="X23" t="s">
        <v>12</v>
      </c>
      <c r="Y23">
        <v>0.5</v>
      </c>
      <c r="AA23" s="9"/>
      <c r="AB23" s="9"/>
      <c r="AC23" s="9"/>
      <c r="AD23" s="9"/>
      <c r="AE23" s="9"/>
      <c r="AF23" s="9"/>
      <c r="AG23" s="9"/>
      <c r="AH23" s="10"/>
      <c r="AI23" s="11"/>
      <c r="AJ23" s="11"/>
      <c r="AK23" s="12"/>
      <c r="AL23" s="10"/>
      <c r="AM23" s="11"/>
      <c r="AN23" s="11"/>
      <c r="AO23" s="11"/>
      <c r="AP23" s="11"/>
      <c r="AQ23" s="13"/>
      <c r="AS23" t="s">
        <v>185</v>
      </c>
      <c r="AT23">
        <v>15.01</v>
      </c>
      <c r="AW23">
        <f>AT23/5</f>
        <v>3.0019999999999998</v>
      </c>
    </row>
    <row r="24" spans="1:51" ht="80" x14ac:dyDescent="0.2">
      <c r="B24" s="14" t="s">
        <v>19</v>
      </c>
      <c r="C24" s="15" t="s">
        <v>20</v>
      </c>
      <c r="D24" s="2" t="s">
        <v>21</v>
      </c>
      <c r="E24" t="s">
        <v>22</v>
      </c>
      <c r="F24" s="16" t="s">
        <v>23</v>
      </c>
      <c r="G24" s="2" t="s">
        <v>214</v>
      </c>
      <c r="H24" s="2" t="s">
        <v>215</v>
      </c>
      <c r="I24" s="64" t="s">
        <v>341</v>
      </c>
      <c r="J24" s="64" t="s">
        <v>342</v>
      </c>
      <c r="K24" s="64" t="s">
        <v>343</v>
      </c>
      <c r="M24" s="85" t="s">
        <v>19</v>
      </c>
      <c r="N24" s="99" t="s">
        <v>78</v>
      </c>
      <c r="O24" s="87" t="s">
        <v>77</v>
      </c>
      <c r="P24" s="86" t="s">
        <v>75</v>
      </c>
      <c r="Q24" s="87" t="s">
        <v>76</v>
      </c>
      <c r="S24">
        <v>0.5</v>
      </c>
      <c r="T24">
        <f>S24*0.85</f>
        <v>0.42499999999999999</v>
      </c>
      <c r="Z24" s="124"/>
      <c r="AH24" s="17"/>
      <c r="AI24" s="18"/>
      <c r="AJ24" s="18"/>
      <c r="AK24" s="19"/>
      <c r="AL24" s="17"/>
      <c r="AM24" s="18"/>
      <c r="AN24" s="18"/>
      <c r="AO24" s="18"/>
      <c r="AP24" s="18"/>
      <c r="AQ24" s="19"/>
      <c r="AR24" s="17"/>
      <c r="AS24" s="18"/>
      <c r="AT24" s="18">
        <f>AW17*2</f>
        <v>16.508000000000003</v>
      </c>
      <c r="AU24" s="19"/>
      <c r="AW24">
        <f>AW21*3</f>
        <v>16.806000000000001</v>
      </c>
    </row>
    <row r="25" spans="1:51" ht="24" x14ac:dyDescent="0.3">
      <c r="A25" s="58">
        <f>$C$22*C25*N25</f>
        <v>6.0423300000000006E-2</v>
      </c>
      <c r="B25" s="20">
        <v>1</v>
      </c>
      <c r="C25" s="21">
        <v>4.8300000000000001E-3</v>
      </c>
      <c r="D25" s="22">
        <v>8.2000000000000007E-3</v>
      </c>
      <c r="E25" s="23">
        <f>C25*$C$22</f>
        <v>6.7137000000000002E-2</v>
      </c>
      <c r="F25" s="3">
        <f>1/(1.1*2)</f>
        <v>0.45454545454545453</v>
      </c>
      <c r="G25">
        <f>1/19</f>
        <v>5.2631578947368418E-2</v>
      </c>
      <c r="H25" s="25">
        <f>1/22</f>
        <v>4.5454545454545456E-2</v>
      </c>
      <c r="I25" s="134"/>
      <c r="J25" s="7"/>
      <c r="K25" s="9">
        <f>N25*E25*C22</f>
        <v>0.83988387000000009</v>
      </c>
      <c r="M25" s="83">
        <v>1</v>
      </c>
      <c r="N25" s="94">
        <v>0.9</v>
      </c>
      <c r="O25" s="96">
        <v>0.1</v>
      </c>
      <c r="P25" s="92">
        <v>1</v>
      </c>
      <c r="Q25" s="93">
        <v>0.2</v>
      </c>
      <c r="R25">
        <f>(P25/N25)^(1/35)-1</f>
        <v>3.0148359516932732E-3</v>
      </c>
      <c r="S25">
        <f>(Q25/O25)^(1/35)-1</f>
        <v>2.0001609421198996E-2</v>
      </c>
      <c r="T25" s="156">
        <f>N25*(1+R25)^35</f>
        <v>1.0000000000000029</v>
      </c>
      <c r="U25" s="156">
        <f>O25*(1+S25)^35</f>
        <v>0.1999999999999991</v>
      </c>
      <c r="W25" s="9">
        <f t="shared" ref="W25:W40" si="9">C25*$C$22*10^6*$W$23*N25</f>
        <v>302.11650000000003</v>
      </c>
      <c r="X25" s="83">
        <v>1</v>
      </c>
      <c r="Y25" s="125">
        <f t="shared" ref="Y25:Y40" si="10">W25*$Y$22*$Y$23</f>
        <v>75.529125000000008</v>
      </c>
      <c r="Z25" s="126">
        <f t="shared" ref="Z25:Z40" si="11">W25*$Y$22*$Y$23*O25</f>
        <v>7.5529125000000015</v>
      </c>
      <c r="AA25" s="26">
        <f>Y25-Z25</f>
        <v>67.976212500000003</v>
      </c>
      <c r="AB25" s="130">
        <f>Z25*4 +AA25*4</f>
        <v>302.11650000000003</v>
      </c>
      <c r="AC25" s="26"/>
      <c r="AD25" s="26">
        <f>68*4</f>
        <v>272</v>
      </c>
      <c r="AE25" s="9">
        <f>8*4</f>
        <v>32</v>
      </c>
      <c r="AF25" s="9">
        <f>SUM(AD25:AE25)</f>
        <v>304</v>
      </c>
      <c r="AG25" s="9"/>
      <c r="AH25" s="27">
        <f>1343*4</f>
        <v>5372</v>
      </c>
      <c r="AI25" s="28">
        <f>168*4</f>
        <v>672</v>
      </c>
      <c r="AJ25" s="29">
        <f>SUM(AH25:AI25)</f>
        <v>6044</v>
      </c>
      <c r="AK25" s="30"/>
      <c r="AL25" s="31"/>
      <c r="AM25" s="28"/>
      <c r="AN25" s="28"/>
      <c r="AO25" s="32"/>
      <c r="AP25" s="18"/>
      <c r="AQ25" s="19"/>
      <c r="AT25" s="7"/>
      <c r="AU25" s="9"/>
    </row>
    <row r="26" spans="1:51" ht="24" x14ac:dyDescent="0.3">
      <c r="A26" s="58">
        <f t="shared" ref="A26:A40" si="12">$C$22*C26*N26</f>
        <v>0.30787110000000001</v>
      </c>
      <c r="B26" s="33">
        <v>2</v>
      </c>
      <c r="C26" s="21">
        <v>2.461E-2</v>
      </c>
      <c r="D26" s="22">
        <f>D25</f>
        <v>8.2000000000000007E-3</v>
      </c>
      <c r="E26" s="34">
        <f t="shared" ref="E26:E39" si="13">C26*$C$22</f>
        <v>0.34207900000000002</v>
      </c>
      <c r="F26" s="3">
        <f>F25</f>
        <v>0.45454545454545453</v>
      </c>
      <c r="G26">
        <f>G25</f>
        <v>5.2631578947368418E-2</v>
      </c>
      <c r="H26" s="25">
        <f>H25</f>
        <v>4.5454545454545456E-2</v>
      </c>
      <c r="I26" s="134"/>
      <c r="J26" s="7"/>
      <c r="M26" s="84">
        <v>2</v>
      </c>
      <c r="N26" s="94">
        <f>N25</f>
        <v>0.9</v>
      </c>
      <c r="O26" s="96">
        <v>0.1</v>
      </c>
      <c r="P26" s="95">
        <v>1</v>
      </c>
      <c r="Q26" s="96">
        <v>0.2</v>
      </c>
      <c r="R26">
        <f t="shared" ref="R26:S40" si="14">(P26/N26)^(1/35)-1</f>
        <v>3.0148359516932732E-3</v>
      </c>
      <c r="S26">
        <f t="shared" si="14"/>
        <v>2.0001609421198996E-2</v>
      </c>
      <c r="T26" s="156">
        <f t="shared" ref="T26:U40" si="15">N26*(1+R26)^35</f>
        <v>1.0000000000000029</v>
      </c>
      <c r="U26" s="156">
        <f t="shared" si="15"/>
        <v>0.1999999999999991</v>
      </c>
      <c r="W26" s="9">
        <f t="shared" si="9"/>
        <v>1539.3555000000001</v>
      </c>
      <c r="X26" s="84">
        <v>2</v>
      </c>
      <c r="Y26" s="125">
        <f t="shared" si="10"/>
        <v>384.83887500000003</v>
      </c>
      <c r="Z26" s="126">
        <f t="shared" si="11"/>
        <v>38.483887500000009</v>
      </c>
      <c r="AA26" s="26">
        <f t="shared" ref="AA26:AA40" si="16">Y26-Z26</f>
        <v>346.35498749999999</v>
      </c>
      <c r="AB26" s="130">
        <f t="shared" ref="AB26:AB40" si="17">Z26*4 +AA26*4</f>
        <v>1539.3555000000001</v>
      </c>
      <c r="AC26" s="26"/>
      <c r="AD26" s="26"/>
      <c r="AE26" s="9"/>
      <c r="AF26" s="9"/>
      <c r="AG26" s="9"/>
      <c r="AH26" s="27"/>
      <c r="AI26" s="28"/>
      <c r="AJ26" s="29"/>
      <c r="AK26" s="30"/>
      <c r="AL26" s="31"/>
      <c r="AM26" s="29"/>
      <c r="AN26" s="28"/>
      <c r="AO26" s="32"/>
      <c r="AP26" s="18"/>
      <c r="AQ26" s="19"/>
      <c r="AS26" t="s">
        <v>186</v>
      </c>
      <c r="AT26" s="26">
        <f>AW17*4</f>
        <v>33.016000000000005</v>
      </c>
      <c r="AU26" s="9"/>
      <c r="AW26" s="9">
        <f>AW23*1</f>
        <v>3.0019999999999998</v>
      </c>
      <c r="AX26" s="7"/>
    </row>
    <row r="27" spans="1:51" ht="24" x14ac:dyDescent="0.3">
      <c r="A27" s="58">
        <f t="shared" si="12"/>
        <v>1.2683889000000002</v>
      </c>
      <c r="B27" s="20">
        <v>3</v>
      </c>
      <c r="C27" s="21">
        <v>0.10138999999999999</v>
      </c>
      <c r="D27" s="22">
        <f t="shared" ref="D27:D40" si="18">D26</f>
        <v>8.2000000000000007E-3</v>
      </c>
      <c r="E27" s="34">
        <f t="shared" si="13"/>
        <v>1.409321</v>
      </c>
      <c r="F27" s="3">
        <f t="shared" ref="F27:H40" si="19">F26</f>
        <v>0.45454545454545453</v>
      </c>
      <c r="G27">
        <f t="shared" si="19"/>
        <v>5.2631578947368418E-2</v>
      </c>
      <c r="H27" s="25">
        <f t="shared" si="19"/>
        <v>4.5454545454545456E-2</v>
      </c>
      <c r="I27" s="134"/>
      <c r="J27" s="7"/>
      <c r="M27" s="83">
        <v>3</v>
      </c>
      <c r="N27" s="94">
        <f t="shared" ref="N27:N40" si="20">N26</f>
        <v>0.9</v>
      </c>
      <c r="O27" s="96">
        <v>0.1</v>
      </c>
      <c r="P27" s="95">
        <v>1</v>
      </c>
      <c r="Q27" s="96">
        <v>0.5</v>
      </c>
      <c r="R27">
        <f t="shared" si="14"/>
        <v>3.0148359516932732E-3</v>
      </c>
      <c r="S27">
        <f t="shared" si="14"/>
        <v>4.7057595448906753E-2</v>
      </c>
      <c r="T27" s="156">
        <f t="shared" si="15"/>
        <v>1.0000000000000029</v>
      </c>
      <c r="U27" s="156">
        <f t="shared" si="15"/>
        <v>0.49999999999999939</v>
      </c>
      <c r="W27" s="9">
        <f t="shared" si="9"/>
        <v>6341.9445000000005</v>
      </c>
      <c r="X27" s="83">
        <v>3</v>
      </c>
      <c r="Y27" s="125">
        <f t="shared" si="10"/>
        <v>1585.4861250000001</v>
      </c>
      <c r="Z27" s="126">
        <f t="shared" si="11"/>
        <v>158.54861250000002</v>
      </c>
      <c r="AA27" s="26">
        <f t="shared" si="16"/>
        <v>1426.9375125000001</v>
      </c>
      <c r="AB27" s="130">
        <f t="shared" si="17"/>
        <v>6341.9445000000005</v>
      </c>
      <c r="AC27" s="26"/>
      <c r="AD27" s="26"/>
      <c r="AE27" s="9"/>
      <c r="AF27" s="9"/>
      <c r="AG27" s="9"/>
      <c r="AH27" s="35"/>
      <c r="AI27" s="36"/>
      <c r="AJ27" s="29"/>
      <c r="AK27" s="37"/>
      <c r="AL27" s="35"/>
      <c r="AM27" s="36"/>
      <c r="AN27" s="36"/>
      <c r="AO27" s="32"/>
      <c r="AP27" s="32"/>
      <c r="AQ27" s="38"/>
      <c r="AT27" s="7"/>
      <c r="AU27" s="9"/>
      <c r="AW27" s="7"/>
      <c r="AX27" s="7"/>
    </row>
    <row r="28" spans="1:51" ht="24" x14ac:dyDescent="0.3">
      <c r="A28" s="58">
        <f t="shared" si="12"/>
        <v>0.66590730000000009</v>
      </c>
      <c r="B28" s="20">
        <v>4</v>
      </c>
      <c r="C28" s="21">
        <v>5.323E-2</v>
      </c>
      <c r="D28" s="22">
        <f t="shared" si="18"/>
        <v>8.2000000000000007E-3</v>
      </c>
      <c r="E28" s="34">
        <f t="shared" si="13"/>
        <v>0.73989700000000003</v>
      </c>
      <c r="F28" s="3">
        <f t="shared" si="19"/>
        <v>0.45454545454545453</v>
      </c>
      <c r="G28">
        <f t="shared" si="19"/>
        <v>5.2631578947368418E-2</v>
      </c>
      <c r="H28" s="25">
        <f t="shared" si="19"/>
        <v>4.5454545454545456E-2</v>
      </c>
      <c r="I28" s="134"/>
      <c r="J28" s="7"/>
      <c r="M28" s="83">
        <v>4</v>
      </c>
      <c r="N28" s="94">
        <f t="shared" si="20"/>
        <v>0.9</v>
      </c>
      <c r="O28" s="96">
        <v>0.1</v>
      </c>
      <c r="P28" s="95">
        <v>1</v>
      </c>
      <c r="Q28" s="96">
        <v>0.5</v>
      </c>
      <c r="R28">
        <f t="shared" si="14"/>
        <v>3.0148359516932732E-3</v>
      </c>
      <c r="S28">
        <f t="shared" si="14"/>
        <v>4.7057595448906753E-2</v>
      </c>
      <c r="T28" s="156">
        <f t="shared" si="15"/>
        <v>1.0000000000000029</v>
      </c>
      <c r="U28" s="156">
        <f t="shared" si="15"/>
        <v>0.49999999999999939</v>
      </c>
      <c r="W28" s="9">
        <f t="shared" si="9"/>
        <v>3329.5365000000002</v>
      </c>
      <c r="X28" s="83">
        <v>4</v>
      </c>
      <c r="Y28" s="125">
        <f t="shared" si="10"/>
        <v>832.38412500000004</v>
      </c>
      <c r="Z28" s="126">
        <f t="shared" si="11"/>
        <v>83.23841250000001</v>
      </c>
      <c r="AA28" s="26">
        <f t="shared" si="16"/>
        <v>749.14571250000006</v>
      </c>
      <c r="AB28" s="130">
        <f t="shared" si="17"/>
        <v>3329.5365000000002</v>
      </c>
      <c r="AC28" s="26"/>
      <c r="AD28" s="26"/>
      <c r="AE28" s="9"/>
      <c r="AF28" s="9"/>
      <c r="AG28" s="9"/>
      <c r="AH28" s="27"/>
      <c r="AI28" s="29"/>
      <c r="AJ28" s="29"/>
      <c r="AK28" s="39"/>
      <c r="AL28" s="27"/>
      <c r="AM28" s="29"/>
      <c r="AN28" s="29"/>
      <c r="AO28" s="29"/>
      <c r="AP28" s="40"/>
      <c r="AQ28" s="39"/>
      <c r="AT28" s="9">
        <f>AW17*3</f>
        <v>24.762000000000004</v>
      </c>
      <c r="AU28" s="9"/>
      <c r="AW28" s="26">
        <f>AW26*2</f>
        <v>6.0039999999999996</v>
      </c>
      <c r="AX28" s="132">
        <f>AX15*2</f>
        <v>9.1999999999999998E-2</v>
      </c>
      <c r="AY28" s="7"/>
    </row>
    <row r="29" spans="1:51" ht="24" x14ac:dyDescent="0.3">
      <c r="A29" s="58">
        <f t="shared" si="12"/>
        <v>0.15574949999999999</v>
      </c>
      <c r="B29" s="33">
        <v>5</v>
      </c>
      <c r="C29" s="21">
        <v>1.2449999999999999E-2</v>
      </c>
      <c r="D29" s="22">
        <f t="shared" si="18"/>
        <v>8.2000000000000007E-3</v>
      </c>
      <c r="E29" s="34">
        <f t="shared" si="13"/>
        <v>0.17305499999999999</v>
      </c>
      <c r="F29" s="3">
        <f t="shared" si="19"/>
        <v>0.45454545454545453</v>
      </c>
      <c r="G29">
        <f t="shared" si="19"/>
        <v>5.2631578947368418E-2</v>
      </c>
      <c r="H29" s="25">
        <f t="shared" si="19"/>
        <v>4.5454545454545456E-2</v>
      </c>
      <c r="I29" s="134"/>
      <c r="J29" s="7"/>
      <c r="M29" s="84">
        <v>5</v>
      </c>
      <c r="N29" s="94">
        <f t="shared" si="20"/>
        <v>0.9</v>
      </c>
      <c r="O29" s="96">
        <v>0.1</v>
      </c>
      <c r="P29" s="95">
        <v>1</v>
      </c>
      <c r="Q29" s="96">
        <v>0.5</v>
      </c>
      <c r="R29">
        <f t="shared" si="14"/>
        <v>3.0148359516932732E-3</v>
      </c>
      <c r="S29">
        <f t="shared" si="14"/>
        <v>4.7057595448906753E-2</v>
      </c>
      <c r="T29" s="156">
        <f t="shared" si="15"/>
        <v>1.0000000000000029</v>
      </c>
      <c r="U29" s="156">
        <f t="shared" si="15"/>
        <v>0.49999999999999939</v>
      </c>
      <c r="W29" s="9">
        <f t="shared" si="9"/>
        <v>778.74749999999995</v>
      </c>
      <c r="X29" s="84">
        <v>5</v>
      </c>
      <c r="Y29" s="125">
        <f t="shared" si="10"/>
        <v>194.68687499999999</v>
      </c>
      <c r="Z29" s="126">
        <f t="shared" si="11"/>
        <v>19.468687500000001</v>
      </c>
      <c r="AA29" s="26">
        <f t="shared" si="16"/>
        <v>175.2181875</v>
      </c>
      <c r="AB29" s="130">
        <f t="shared" si="17"/>
        <v>778.74749999999995</v>
      </c>
      <c r="AC29" s="26"/>
      <c r="AD29" s="26"/>
      <c r="AE29" s="9"/>
      <c r="AF29" s="9"/>
      <c r="AG29" s="9"/>
      <c r="AH29" s="17"/>
      <c r="AI29" s="18"/>
      <c r="AJ29" s="18"/>
      <c r="AK29" s="19"/>
      <c r="AL29" s="17"/>
      <c r="AM29" s="18"/>
      <c r="AN29" s="18"/>
      <c r="AO29" s="18"/>
      <c r="AP29" s="18"/>
      <c r="AQ29" s="19"/>
    </row>
    <row r="30" spans="1:51" ht="24" x14ac:dyDescent="0.3">
      <c r="A30" s="58">
        <f t="shared" si="12"/>
        <v>0.9615186</v>
      </c>
      <c r="B30" s="20">
        <v>6</v>
      </c>
      <c r="C30" s="21">
        <v>7.6859999999999998E-2</v>
      </c>
      <c r="D30" s="22">
        <f t="shared" si="18"/>
        <v>8.2000000000000007E-3</v>
      </c>
      <c r="E30" s="34">
        <f t="shared" si="13"/>
        <v>1.068354</v>
      </c>
      <c r="F30" s="3">
        <f t="shared" si="19"/>
        <v>0.45454545454545453</v>
      </c>
      <c r="G30">
        <f t="shared" si="19"/>
        <v>5.2631578947368418E-2</v>
      </c>
      <c r="H30" s="25">
        <f t="shared" si="19"/>
        <v>4.5454545454545456E-2</v>
      </c>
      <c r="I30" s="134"/>
      <c r="J30" s="7"/>
      <c r="M30" s="83">
        <v>6</v>
      </c>
      <c r="N30" s="94">
        <f t="shared" si="20"/>
        <v>0.9</v>
      </c>
      <c r="O30" s="96">
        <v>0.5</v>
      </c>
      <c r="P30" s="95">
        <v>1</v>
      </c>
      <c r="Q30" s="96">
        <v>0.7</v>
      </c>
      <c r="R30">
        <f t="shared" si="14"/>
        <v>3.0148359516932732E-3</v>
      </c>
      <c r="S30">
        <f t="shared" si="14"/>
        <v>9.6598505288552072E-3</v>
      </c>
      <c r="T30" s="156">
        <f t="shared" si="15"/>
        <v>1.0000000000000029</v>
      </c>
      <c r="U30" s="156">
        <f t="shared" si="15"/>
        <v>0.6999999999999994</v>
      </c>
      <c r="W30" s="9">
        <f t="shared" si="9"/>
        <v>4807.5930000000008</v>
      </c>
      <c r="X30" s="83">
        <v>6</v>
      </c>
      <c r="Y30" s="125">
        <f t="shared" si="10"/>
        <v>1201.8982500000002</v>
      </c>
      <c r="Z30" s="126">
        <f t="shared" si="11"/>
        <v>600.94912500000009</v>
      </c>
      <c r="AA30" s="26">
        <f t="shared" si="16"/>
        <v>600.94912500000009</v>
      </c>
      <c r="AB30" s="130">
        <f t="shared" si="17"/>
        <v>4807.5930000000008</v>
      </c>
      <c r="AC30" s="26"/>
      <c r="AD30" s="26"/>
      <c r="AE30" s="9"/>
      <c r="AF30" s="9"/>
      <c r="AG30" s="9"/>
      <c r="AH30" s="17"/>
      <c r="AI30" s="18"/>
      <c r="AJ30" s="18"/>
      <c r="AK30" s="19"/>
      <c r="AL30" s="17"/>
      <c r="AM30" s="18"/>
      <c r="AN30" s="18"/>
      <c r="AO30" s="18"/>
      <c r="AP30" s="41"/>
      <c r="AQ30" s="19"/>
      <c r="AT30">
        <f>AW17*3</f>
        <v>24.762000000000004</v>
      </c>
    </row>
    <row r="31" spans="1:51" ht="24" x14ac:dyDescent="0.3">
      <c r="A31" s="58">
        <f t="shared" si="12"/>
        <v>0.75272670000000008</v>
      </c>
      <c r="B31" s="20">
        <v>7</v>
      </c>
      <c r="C31" s="21">
        <v>6.0170000000000001E-2</v>
      </c>
      <c r="D31" s="22">
        <f t="shared" si="18"/>
        <v>8.2000000000000007E-3</v>
      </c>
      <c r="E31" s="34">
        <f t="shared" si="13"/>
        <v>0.83636300000000008</v>
      </c>
      <c r="F31" s="3">
        <f t="shared" si="19"/>
        <v>0.45454545454545453</v>
      </c>
      <c r="G31">
        <f t="shared" si="19"/>
        <v>5.2631578947368418E-2</v>
      </c>
      <c r="H31" s="25">
        <f t="shared" si="19"/>
        <v>4.5454545454545456E-2</v>
      </c>
      <c r="I31" s="134"/>
      <c r="J31" s="7"/>
      <c r="M31" s="83">
        <v>7</v>
      </c>
      <c r="N31" s="94">
        <f t="shared" si="20"/>
        <v>0.9</v>
      </c>
      <c r="O31" s="96">
        <v>0.5</v>
      </c>
      <c r="P31" s="95">
        <v>1</v>
      </c>
      <c r="Q31" s="96">
        <f>Q30</f>
        <v>0.7</v>
      </c>
      <c r="R31">
        <f>(P31/N31)^(1/35)-1</f>
        <v>3.0148359516932732E-3</v>
      </c>
      <c r="S31">
        <f>(Q31/O31)^(1/35)-1</f>
        <v>9.6598505288552072E-3</v>
      </c>
      <c r="T31" s="156">
        <f t="shared" si="15"/>
        <v>1.0000000000000029</v>
      </c>
      <c r="U31" s="156">
        <f t="shared" si="15"/>
        <v>0.6999999999999994</v>
      </c>
      <c r="W31" s="9">
        <f t="shared" si="9"/>
        <v>3763.6335000000004</v>
      </c>
      <c r="X31" s="83">
        <v>7</v>
      </c>
      <c r="Y31" s="125">
        <f t="shared" si="10"/>
        <v>940.90837500000009</v>
      </c>
      <c r="Z31" s="126">
        <f t="shared" si="11"/>
        <v>470.45418750000005</v>
      </c>
      <c r="AA31" s="26">
        <f t="shared" si="16"/>
        <v>470.45418750000005</v>
      </c>
      <c r="AB31" s="130">
        <f t="shared" si="17"/>
        <v>3763.6335000000004</v>
      </c>
      <c r="AC31" s="26"/>
      <c r="AD31" s="26"/>
      <c r="AE31" s="9"/>
      <c r="AF31" s="9"/>
      <c r="AG31" s="9"/>
      <c r="AH31" s="17"/>
      <c r="AI31" s="18"/>
      <c r="AJ31" s="18"/>
      <c r="AK31" s="19"/>
      <c r="AL31" s="17"/>
      <c r="AM31" s="18"/>
      <c r="AN31" s="18"/>
      <c r="AO31" s="18"/>
      <c r="AP31" s="18"/>
      <c r="AQ31" s="19"/>
      <c r="AT31">
        <f>AW17*2</f>
        <v>16.508000000000003</v>
      </c>
      <c r="AW31" s="9">
        <f>AW26*3</f>
        <v>9.0060000000000002</v>
      </c>
    </row>
    <row r="32" spans="1:51" ht="24" x14ac:dyDescent="0.3">
      <c r="A32" s="58">
        <f t="shared" si="12"/>
        <v>1.5482376</v>
      </c>
      <c r="B32" s="33">
        <v>8</v>
      </c>
      <c r="C32" s="21">
        <v>0.12376</v>
      </c>
      <c r="D32" s="22">
        <f t="shared" si="18"/>
        <v>8.2000000000000007E-3</v>
      </c>
      <c r="E32" s="34">
        <f t="shared" si="13"/>
        <v>1.720264</v>
      </c>
      <c r="F32" s="3">
        <f t="shared" si="19"/>
        <v>0.45454545454545453</v>
      </c>
      <c r="G32">
        <f t="shared" si="19"/>
        <v>5.2631578947368418E-2</v>
      </c>
      <c r="H32" s="25">
        <f t="shared" si="19"/>
        <v>4.5454545454545456E-2</v>
      </c>
      <c r="I32" s="134"/>
      <c r="J32" s="7"/>
      <c r="K32">
        <f>0.5*13.9</f>
        <v>6.95</v>
      </c>
      <c r="L32">
        <f>2.3*0.9</f>
        <v>2.0699999999999998</v>
      </c>
      <c r="M32" s="84">
        <v>8</v>
      </c>
      <c r="N32" s="94">
        <f t="shared" si="20"/>
        <v>0.9</v>
      </c>
      <c r="O32" s="96">
        <v>0.5</v>
      </c>
      <c r="P32" s="95">
        <v>1</v>
      </c>
      <c r="Q32" s="96">
        <f t="shared" ref="Q32:Q39" si="21">Q31</f>
        <v>0.7</v>
      </c>
      <c r="R32">
        <f t="shared" si="14"/>
        <v>3.0148359516932732E-3</v>
      </c>
      <c r="S32">
        <f t="shared" si="14"/>
        <v>9.6598505288552072E-3</v>
      </c>
      <c r="T32" s="156">
        <f t="shared" si="15"/>
        <v>1.0000000000000029</v>
      </c>
      <c r="U32" s="156">
        <f t="shared" si="15"/>
        <v>0.6999999999999994</v>
      </c>
      <c r="W32" s="9">
        <f t="shared" si="9"/>
        <v>7741.1880000000001</v>
      </c>
      <c r="X32" s="84">
        <v>8</v>
      </c>
      <c r="Y32" s="125">
        <f t="shared" si="10"/>
        <v>1935.297</v>
      </c>
      <c r="Z32" s="126">
        <f t="shared" si="11"/>
        <v>967.64850000000001</v>
      </c>
      <c r="AA32" s="26">
        <f t="shared" si="16"/>
        <v>967.64850000000001</v>
      </c>
      <c r="AB32" s="130">
        <f t="shared" si="17"/>
        <v>7741.1880000000001</v>
      </c>
      <c r="AC32" s="26"/>
      <c r="AD32" s="26">
        <f>1060*4</f>
        <v>4240</v>
      </c>
      <c r="AE32" s="9">
        <f>875*4</f>
        <v>3500</v>
      </c>
      <c r="AF32" s="9">
        <f>SUM(AD32:AE32)</f>
        <v>7740</v>
      </c>
      <c r="AG32" s="9"/>
      <c r="AH32" s="17"/>
      <c r="AI32" s="18"/>
      <c r="AJ32" s="18"/>
      <c r="AK32" s="19"/>
      <c r="AL32" s="17"/>
      <c r="AM32" s="18"/>
      <c r="AN32" s="18"/>
      <c r="AO32" s="18"/>
      <c r="AP32" s="18"/>
      <c r="AQ32" s="19"/>
    </row>
    <row r="33" spans="1:43" ht="24" x14ac:dyDescent="0.3">
      <c r="A33" s="58">
        <f t="shared" si="12"/>
        <v>2.0003489999999999</v>
      </c>
      <c r="B33" s="20">
        <v>9</v>
      </c>
      <c r="C33" s="21">
        <v>0.15989999999999999</v>
      </c>
      <c r="D33" s="22">
        <f t="shared" si="18"/>
        <v>8.2000000000000007E-3</v>
      </c>
      <c r="E33" s="34">
        <f t="shared" si="13"/>
        <v>2.22261</v>
      </c>
      <c r="F33" s="3">
        <f t="shared" si="19"/>
        <v>0.45454545454545453</v>
      </c>
      <c r="G33">
        <f t="shared" si="19"/>
        <v>5.2631578947368418E-2</v>
      </c>
      <c r="H33" s="25">
        <f t="shared" si="19"/>
        <v>4.5454545454545456E-2</v>
      </c>
      <c r="I33" s="134"/>
      <c r="J33" s="7"/>
      <c r="K33">
        <f>(K32+L32)</f>
        <v>9.02</v>
      </c>
      <c r="M33" s="83">
        <v>9</v>
      </c>
      <c r="N33" s="94">
        <f t="shared" si="20"/>
        <v>0.9</v>
      </c>
      <c r="O33" s="96">
        <v>0.5</v>
      </c>
      <c r="P33" s="95">
        <v>1</v>
      </c>
      <c r="Q33" s="96">
        <f t="shared" si="21"/>
        <v>0.7</v>
      </c>
      <c r="R33">
        <f t="shared" si="14"/>
        <v>3.0148359516932732E-3</v>
      </c>
      <c r="S33">
        <f t="shared" si="14"/>
        <v>9.6598505288552072E-3</v>
      </c>
      <c r="T33" s="156">
        <f t="shared" si="15"/>
        <v>1.0000000000000029</v>
      </c>
      <c r="U33" s="156">
        <f t="shared" si="15"/>
        <v>0.6999999999999994</v>
      </c>
      <c r="W33" s="9">
        <f t="shared" si="9"/>
        <v>10001.745000000001</v>
      </c>
      <c r="X33" s="83">
        <v>9</v>
      </c>
      <c r="Y33" s="125">
        <f t="shared" si="10"/>
        <v>2500.4362500000002</v>
      </c>
      <c r="Z33" s="126">
        <f t="shared" si="11"/>
        <v>1250.2181250000001</v>
      </c>
      <c r="AA33" s="26">
        <f t="shared" si="16"/>
        <v>1250.2181250000001</v>
      </c>
      <c r="AB33" s="130">
        <f t="shared" si="17"/>
        <v>10001.745000000001</v>
      </c>
      <c r="AC33" s="26"/>
      <c r="AD33" s="26"/>
      <c r="AE33" s="9"/>
      <c r="AF33" s="9"/>
      <c r="AG33" s="9"/>
      <c r="AH33" s="17"/>
      <c r="AI33" s="18"/>
      <c r="AJ33" s="18"/>
      <c r="AK33" s="19"/>
      <c r="AL33" s="17"/>
      <c r="AM33" s="18"/>
      <c r="AN33" s="18"/>
      <c r="AO33" s="18"/>
      <c r="AP33" s="18"/>
      <c r="AQ33" s="19"/>
    </row>
    <row r="34" spans="1:43" ht="24" x14ac:dyDescent="0.3">
      <c r="A34" s="58">
        <f t="shared" si="12"/>
        <v>1.3448250000000002</v>
      </c>
      <c r="B34" s="20">
        <v>10</v>
      </c>
      <c r="C34" s="21">
        <v>0.1075</v>
      </c>
      <c r="D34" s="22">
        <f t="shared" si="18"/>
        <v>8.2000000000000007E-3</v>
      </c>
      <c r="E34" s="34">
        <f t="shared" si="13"/>
        <v>1.4942500000000001</v>
      </c>
      <c r="F34" s="3">
        <f t="shared" si="19"/>
        <v>0.45454545454545453</v>
      </c>
      <c r="G34">
        <f t="shared" si="19"/>
        <v>5.2631578947368418E-2</v>
      </c>
      <c r="H34" s="25">
        <f t="shared" si="19"/>
        <v>4.5454545454545456E-2</v>
      </c>
      <c r="I34" s="134"/>
      <c r="J34" s="7"/>
      <c r="K34">
        <f>K33/(13.9+2.3)</f>
        <v>0.55679012345679013</v>
      </c>
      <c r="M34" s="83">
        <v>10</v>
      </c>
      <c r="N34" s="94">
        <f t="shared" si="20"/>
        <v>0.9</v>
      </c>
      <c r="O34" s="96">
        <v>0.5</v>
      </c>
      <c r="P34" s="95">
        <v>1</v>
      </c>
      <c r="Q34" s="96">
        <f t="shared" si="21"/>
        <v>0.7</v>
      </c>
      <c r="R34">
        <f t="shared" si="14"/>
        <v>3.0148359516932732E-3</v>
      </c>
      <c r="S34">
        <f t="shared" si="14"/>
        <v>9.6598505288552072E-3</v>
      </c>
      <c r="T34" s="156">
        <f t="shared" si="15"/>
        <v>1.0000000000000029</v>
      </c>
      <c r="U34" s="156">
        <f t="shared" si="15"/>
        <v>0.6999999999999994</v>
      </c>
      <c r="W34" s="9">
        <f t="shared" si="9"/>
        <v>6724.125</v>
      </c>
      <c r="X34" s="83">
        <v>10</v>
      </c>
      <c r="Y34" s="125">
        <f t="shared" si="10"/>
        <v>1681.03125</v>
      </c>
      <c r="Z34" s="126">
        <f t="shared" si="11"/>
        <v>840.515625</v>
      </c>
      <c r="AA34" s="26">
        <f t="shared" si="16"/>
        <v>840.515625</v>
      </c>
      <c r="AB34" s="130">
        <f t="shared" si="17"/>
        <v>6724.125</v>
      </c>
      <c r="AC34" s="26"/>
      <c r="AD34" s="26"/>
      <c r="AF34" s="131"/>
      <c r="AG34" s="9"/>
      <c r="AH34" s="17"/>
      <c r="AI34" s="18"/>
      <c r="AJ34" s="18"/>
      <c r="AK34" s="19"/>
      <c r="AL34" s="17"/>
      <c r="AM34" s="18"/>
      <c r="AN34" s="18"/>
      <c r="AO34" s="18"/>
      <c r="AP34" s="18"/>
      <c r="AQ34" s="19"/>
    </row>
    <row r="35" spans="1:43" ht="24" x14ac:dyDescent="0.3">
      <c r="A35" s="58">
        <f t="shared" si="12"/>
        <v>0.35628480000000001</v>
      </c>
      <c r="B35" s="33">
        <v>11</v>
      </c>
      <c r="C35" s="21">
        <v>2.8479999999999998E-2</v>
      </c>
      <c r="D35" s="22">
        <f t="shared" si="18"/>
        <v>8.2000000000000007E-3</v>
      </c>
      <c r="E35" s="34">
        <f t="shared" si="13"/>
        <v>0.395872</v>
      </c>
      <c r="F35" s="3">
        <f t="shared" si="19"/>
        <v>0.45454545454545453</v>
      </c>
      <c r="G35">
        <f t="shared" si="19"/>
        <v>5.2631578947368418E-2</v>
      </c>
      <c r="H35" s="25">
        <f t="shared" si="19"/>
        <v>4.5454545454545456E-2</v>
      </c>
      <c r="I35" s="134"/>
      <c r="J35" s="7"/>
      <c r="M35" s="84">
        <v>11</v>
      </c>
      <c r="N35" s="94">
        <f t="shared" si="20"/>
        <v>0.9</v>
      </c>
      <c r="O35" s="96">
        <v>0.5</v>
      </c>
      <c r="P35" s="95">
        <v>1</v>
      </c>
      <c r="Q35" s="96">
        <f t="shared" si="21"/>
        <v>0.7</v>
      </c>
      <c r="R35">
        <f t="shared" si="14"/>
        <v>3.0148359516932732E-3</v>
      </c>
      <c r="S35">
        <f t="shared" si="14"/>
        <v>9.6598505288552072E-3</v>
      </c>
      <c r="T35" s="156">
        <f t="shared" si="15"/>
        <v>1.0000000000000029</v>
      </c>
      <c r="U35" s="156">
        <f t="shared" si="15"/>
        <v>0.6999999999999994</v>
      </c>
      <c r="W35" s="9">
        <f t="shared" si="9"/>
        <v>1781.4240000000002</v>
      </c>
      <c r="X35" s="84">
        <v>11</v>
      </c>
      <c r="Y35" s="125">
        <f t="shared" si="10"/>
        <v>445.35600000000005</v>
      </c>
      <c r="Z35" s="126">
        <f t="shared" si="11"/>
        <v>222.67800000000003</v>
      </c>
      <c r="AA35" s="26">
        <f t="shared" si="16"/>
        <v>222.67800000000003</v>
      </c>
      <c r="AB35" s="130">
        <f t="shared" si="17"/>
        <v>1781.4240000000002</v>
      </c>
      <c r="AC35" s="26"/>
      <c r="AD35" s="26"/>
      <c r="AE35" s="9"/>
      <c r="AF35" s="9"/>
      <c r="AG35" s="9"/>
      <c r="AH35" s="17"/>
      <c r="AI35" s="18"/>
      <c r="AJ35" s="18"/>
      <c r="AK35" s="19"/>
      <c r="AL35" s="17"/>
      <c r="AM35" s="18"/>
      <c r="AN35" s="18"/>
      <c r="AO35" s="18"/>
      <c r="AP35" s="18"/>
      <c r="AQ35" s="19"/>
    </row>
    <row r="36" spans="1:43" ht="24" x14ac:dyDescent="0.3">
      <c r="A36" s="58">
        <f t="shared" si="12"/>
        <v>1.5640002000000002</v>
      </c>
      <c r="B36" s="20">
        <v>12</v>
      </c>
      <c r="C36" s="21">
        <v>0.12501999999999999</v>
      </c>
      <c r="D36" s="22">
        <f t="shared" si="18"/>
        <v>8.2000000000000007E-3</v>
      </c>
      <c r="E36" s="34">
        <f t="shared" si="13"/>
        <v>1.737778</v>
      </c>
      <c r="F36" s="3">
        <f t="shared" si="19"/>
        <v>0.45454545454545453</v>
      </c>
      <c r="G36">
        <f t="shared" si="19"/>
        <v>5.2631578947368418E-2</v>
      </c>
      <c r="H36" s="25">
        <f t="shared" si="19"/>
        <v>4.5454545454545456E-2</v>
      </c>
      <c r="I36" s="134"/>
      <c r="J36" s="7"/>
      <c r="M36" s="83">
        <v>12</v>
      </c>
      <c r="N36" s="94">
        <f t="shared" si="20"/>
        <v>0.9</v>
      </c>
      <c r="O36" s="96">
        <v>0.5</v>
      </c>
      <c r="P36" s="95">
        <v>1</v>
      </c>
      <c r="Q36" s="96">
        <f t="shared" si="21"/>
        <v>0.7</v>
      </c>
      <c r="R36">
        <f t="shared" si="14"/>
        <v>3.0148359516932732E-3</v>
      </c>
      <c r="S36">
        <f t="shared" si="14"/>
        <v>9.6598505288552072E-3</v>
      </c>
      <c r="T36" s="156">
        <f t="shared" si="15"/>
        <v>1.0000000000000029</v>
      </c>
      <c r="U36" s="156">
        <f t="shared" si="15"/>
        <v>0.6999999999999994</v>
      </c>
      <c r="W36" s="9">
        <f t="shared" si="9"/>
        <v>7820.0009999999993</v>
      </c>
      <c r="X36" s="83">
        <v>12</v>
      </c>
      <c r="Y36" s="125">
        <f t="shared" si="10"/>
        <v>1955.0002499999998</v>
      </c>
      <c r="Z36" s="126">
        <f t="shared" si="11"/>
        <v>977.50012499999991</v>
      </c>
      <c r="AA36" s="26">
        <f t="shared" si="16"/>
        <v>977.50012499999991</v>
      </c>
      <c r="AB36" s="130">
        <f t="shared" si="17"/>
        <v>7820.0009999999993</v>
      </c>
      <c r="AC36" s="26"/>
      <c r="AD36" s="26">
        <v>74</v>
      </c>
      <c r="AE36" s="9">
        <v>417</v>
      </c>
      <c r="AF36" s="9">
        <v>245</v>
      </c>
      <c r="AG36" s="9">
        <v>31</v>
      </c>
      <c r="AH36" s="17">
        <v>52</v>
      </c>
      <c r="AI36" s="18"/>
      <c r="AJ36" s="18"/>
      <c r="AK36" s="19"/>
      <c r="AL36" s="17"/>
      <c r="AM36" s="18"/>
      <c r="AN36" s="18"/>
      <c r="AO36" s="18"/>
      <c r="AP36" s="18"/>
      <c r="AQ36" s="19"/>
    </row>
    <row r="37" spans="1:43" ht="24" x14ac:dyDescent="0.3">
      <c r="A37" s="58">
        <f t="shared" si="12"/>
        <v>0.78700409999999998</v>
      </c>
      <c r="B37" s="20">
        <v>13</v>
      </c>
      <c r="C37" s="21">
        <v>6.2909999999999994E-2</v>
      </c>
      <c r="D37" s="22">
        <f t="shared" si="18"/>
        <v>8.2000000000000007E-3</v>
      </c>
      <c r="E37" s="34">
        <f t="shared" si="13"/>
        <v>0.87444899999999992</v>
      </c>
      <c r="F37" s="3">
        <f t="shared" si="19"/>
        <v>0.45454545454545453</v>
      </c>
      <c r="G37">
        <f t="shared" si="19"/>
        <v>5.2631578947368418E-2</v>
      </c>
      <c r="H37" s="25">
        <f t="shared" si="19"/>
        <v>4.5454545454545456E-2</v>
      </c>
      <c r="I37" s="134"/>
      <c r="J37" s="7"/>
      <c r="M37" s="83">
        <v>13</v>
      </c>
      <c r="N37" s="94">
        <f t="shared" si="20"/>
        <v>0.9</v>
      </c>
      <c r="O37" s="96">
        <v>0.5</v>
      </c>
      <c r="P37" s="95">
        <v>1</v>
      </c>
      <c r="Q37" s="96">
        <f t="shared" si="21"/>
        <v>0.7</v>
      </c>
      <c r="R37">
        <f t="shared" si="14"/>
        <v>3.0148359516932732E-3</v>
      </c>
      <c r="S37">
        <f t="shared" si="14"/>
        <v>9.6598505288552072E-3</v>
      </c>
      <c r="T37" s="156">
        <f t="shared" si="15"/>
        <v>1.0000000000000029</v>
      </c>
      <c r="U37" s="156">
        <f t="shared" si="15"/>
        <v>0.6999999999999994</v>
      </c>
      <c r="W37" s="9">
        <f t="shared" si="9"/>
        <v>3935.0205000000001</v>
      </c>
      <c r="X37" s="83">
        <v>13</v>
      </c>
      <c r="Y37" s="125">
        <f t="shared" si="10"/>
        <v>983.75512500000002</v>
      </c>
      <c r="Z37" s="126">
        <f t="shared" si="11"/>
        <v>491.87756250000001</v>
      </c>
      <c r="AA37" s="26">
        <f t="shared" si="16"/>
        <v>491.87756250000001</v>
      </c>
      <c r="AB37" s="130">
        <f t="shared" si="17"/>
        <v>3935.0205000000001</v>
      </c>
      <c r="AC37" s="26"/>
      <c r="AD37" s="26"/>
      <c r="AE37" s="9"/>
      <c r="AF37" s="9"/>
      <c r="AG37" s="9"/>
      <c r="AH37" s="17"/>
      <c r="AI37" s="18"/>
      <c r="AJ37" s="18"/>
      <c r="AK37" s="19"/>
      <c r="AL37" s="17"/>
      <c r="AM37" s="18"/>
      <c r="AN37" s="18"/>
      <c r="AO37" s="18"/>
      <c r="AP37" s="18"/>
      <c r="AQ37" s="19"/>
    </row>
    <row r="38" spans="1:43" ht="24" x14ac:dyDescent="0.3">
      <c r="A38" s="58">
        <f t="shared" si="12"/>
        <v>0.29611170000000003</v>
      </c>
      <c r="B38" s="33">
        <v>14</v>
      </c>
      <c r="C38" s="21">
        <v>2.367E-2</v>
      </c>
      <c r="D38" s="22">
        <f t="shared" si="18"/>
        <v>8.2000000000000007E-3</v>
      </c>
      <c r="E38" s="34">
        <f t="shared" si="13"/>
        <v>0.329013</v>
      </c>
      <c r="F38" s="3">
        <f t="shared" si="19"/>
        <v>0.45454545454545453</v>
      </c>
      <c r="G38">
        <f t="shared" si="19"/>
        <v>5.2631578947368418E-2</v>
      </c>
      <c r="H38" s="25">
        <f t="shared" si="19"/>
        <v>4.5454545454545456E-2</v>
      </c>
      <c r="I38" s="134"/>
      <c r="J38" s="7"/>
      <c r="M38" s="84">
        <v>14</v>
      </c>
      <c r="N38" s="94">
        <f t="shared" si="20"/>
        <v>0.9</v>
      </c>
      <c r="O38" s="96">
        <v>0.5</v>
      </c>
      <c r="P38" s="95">
        <v>1</v>
      </c>
      <c r="Q38" s="96">
        <f t="shared" si="21"/>
        <v>0.7</v>
      </c>
      <c r="R38">
        <f t="shared" si="14"/>
        <v>3.0148359516932732E-3</v>
      </c>
      <c r="S38">
        <f t="shared" si="14"/>
        <v>9.6598505288552072E-3</v>
      </c>
      <c r="T38" s="156">
        <f t="shared" si="15"/>
        <v>1.0000000000000029</v>
      </c>
      <c r="U38" s="156">
        <f t="shared" si="15"/>
        <v>0.6999999999999994</v>
      </c>
      <c r="W38" s="9">
        <f t="shared" si="9"/>
        <v>1480.5585000000001</v>
      </c>
      <c r="X38" s="84">
        <v>14</v>
      </c>
      <c r="Y38" s="125">
        <f t="shared" si="10"/>
        <v>370.13962500000002</v>
      </c>
      <c r="Z38" s="126">
        <f t="shared" si="11"/>
        <v>185.06981250000001</v>
      </c>
      <c r="AA38" s="26">
        <f t="shared" si="16"/>
        <v>185.06981250000001</v>
      </c>
      <c r="AB38" s="130">
        <f t="shared" si="17"/>
        <v>1480.5585000000001</v>
      </c>
      <c r="AC38" s="26"/>
      <c r="AD38" s="26"/>
      <c r="AE38" s="9"/>
      <c r="AF38" s="9"/>
      <c r="AG38" s="9"/>
      <c r="AH38" s="17"/>
      <c r="AI38" s="18"/>
      <c r="AJ38" s="18"/>
      <c r="AK38" s="19"/>
      <c r="AL38" s="17"/>
      <c r="AM38" s="18"/>
      <c r="AN38" s="18"/>
      <c r="AO38" s="18"/>
      <c r="AP38" s="18"/>
      <c r="AQ38" s="19"/>
    </row>
    <row r="39" spans="1:43" ht="24" x14ac:dyDescent="0.3">
      <c r="A39" s="58">
        <f t="shared" si="12"/>
        <v>0.22017600000000004</v>
      </c>
      <c r="B39" s="20">
        <v>15</v>
      </c>
      <c r="C39" s="21">
        <v>1.7600000000000001E-2</v>
      </c>
      <c r="D39" s="22">
        <f t="shared" si="18"/>
        <v>8.2000000000000007E-3</v>
      </c>
      <c r="E39" s="34">
        <f t="shared" si="13"/>
        <v>0.24464000000000002</v>
      </c>
      <c r="F39" s="3">
        <f t="shared" si="19"/>
        <v>0.45454545454545453</v>
      </c>
      <c r="G39">
        <f t="shared" si="19"/>
        <v>5.2631578947368418E-2</v>
      </c>
      <c r="H39" s="25">
        <f t="shared" si="19"/>
        <v>4.5454545454545456E-2</v>
      </c>
      <c r="I39" s="134"/>
      <c r="J39" s="7"/>
      <c r="M39" s="83">
        <v>15</v>
      </c>
      <c r="N39" s="94">
        <f t="shared" si="20"/>
        <v>0.9</v>
      </c>
      <c r="O39" s="96">
        <v>0.5</v>
      </c>
      <c r="P39" s="95">
        <v>1</v>
      </c>
      <c r="Q39" s="96">
        <f t="shared" si="21"/>
        <v>0.7</v>
      </c>
      <c r="R39">
        <f t="shared" si="14"/>
        <v>3.0148359516932732E-3</v>
      </c>
      <c r="S39">
        <f t="shared" si="14"/>
        <v>9.6598505288552072E-3</v>
      </c>
      <c r="T39" s="156">
        <f t="shared" si="15"/>
        <v>1.0000000000000029</v>
      </c>
      <c r="U39" s="156">
        <f t="shared" si="15"/>
        <v>0.6999999999999994</v>
      </c>
      <c r="W39" s="9">
        <f t="shared" si="9"/>
        <v>1100.8800000000003</v>
      </c>
      <c r="X39" s="83">
        <v>15</v>
      </c>
      <c r="Y39" s="125">
        <f t="shared" si="10"/>
        <v>275.22000000000008</v>
      </c>
      <c r="Z39" s="126">
        <f t="shared" si="11"/>
        <v>137.61000000000004</v>
      </c>
      <c r="AA39" s="26">
        <f t="shared" si="16"/>
        <v>137.61000000000004</v>
      </c>
      <c r="AB39" s="130">
        <f t="shared" si="17"/>
        <v>1100.8800000000003</v>
      </c>
      <c r="AC39" s="26"/>
      <c r="AD39" s="26">
        <f>122*4</f>
        <v>488</v>
      </c>
      <c r="AE39" s="9">
        <f>153*4</f>
        <v>612</v>
      </c>
      <c r="AF39" s="9">
        <f>AD39+AE39</f>
        <v>1100</v>
      </c>
      <c r="AG39" s="9"/>
      <c r="AH39" s="17"/>
      <c r="AI39" s="18"/>
      <c r="AJ39" s="18"/>
      <c r="AK39" s="19"/>
      <c r="AL39" s="17"/>
      <c r="AM39" s="18"/>
      <c r="AN39" s="18"/>
      <c r="AO39" s="18"/>
      <c r="AP39" s="18"/>
      <c r="AQ39" s="19"/>
    </row>
    <row r="40" spans="1:43" ht="24" x14ac:dyDescent="0.3">
      <c r="A40" s="58">
        <f t="shared" si="12"/>
        <v>0.22055130000000001</v>
      </c>
      <c r="B40" s="20">
        <v>16</v>
      </c>
      <c r="C40" s="21">
        <v>1.763E-2</v>
      </c>
      <c r="D40" s="22">
        <f t="shared" si="18"/>
        <v>8.2000000000000007E-3</v>
      </c>
      <c r="E40" s="42">
        <f>C40*$C$22</f>
        <v>0.245057</v>
      </c>
      <c r="F40" s="3">
        <f t="shared" si="19"/>
        <v>0.45454545454545453</v>
      </c>
      <c r="G40">
        <f t="shared" si="19"/>
        <v>5.2631578947368418E-2</v>
      </c>
      <c r="H40" s="25">
        <f t="shared" si="19"/>
        <v>4.5454545454545456E-2</v>
      </c>
      <c r="I40" s="134"/>
      <c r="J40" s="7"/>
      <c r="M40" s="83">
        <v>16</v>
      </c>
      <c r="N40" s="94">
        <f t="shared" si="20"/>
        <v>0.9</v>
      </c>
      <c r="O40" s="98">
        <v>0.1</v>
      </c>
      <c r="P40" s="97">
        <v>1</v>
      </c>
      <c r="Q40" s="98">
        <v>0.2</v>
      </c>
      <c r="R40">
        <f t="shared" si="14"/>
        <v>3.0148359516932732E-3</v>
      </c>
      <c r="S40">
        <f t="shared" si="14"/>
        <v>2.0001609421198996E-2</v>
      </c>
      <c r="T40" s="156">
        <f t="shared" si="15"/>
        <v>1.0000000000000029</v>
      </c>
      <c r="U40" s="156">
        <f t="shared" si="15"/>
        <v>0.1999999999999991</v>
      </c>
      <c r="W40" s="9">
        <f t="shared" si="9"/>
        <v>1102.7565000000002</v>
      </c>
      <c r="X40" s="83">
        <v>16</v>
      </c>
      <c r="Y40" s="125">
        <f t="shared" si="10"/>
        <v>275.68912500000005</v>
      </c>
      <c r="Z40" s="126">
        <f t="shared" si="11"/>
        <v>27.568912500000007</v>
      </c>
      <c r="AA40" s="26">
        <f t="shared" si="16"/>
        <v>248.12021250000004</v>
      </c>
      <c r="AB40" s="130">
        <f t="shared" si="17"/>
        <v>1102.7565000000002</v>
      </c>
      <c r="AC40" s="26"/>
      <c r="AD40" s="5">
        <f>245*4</f>
        <v>980</v>
      </c>
      <c r="AE40" s="9">
        <f>31*4</f>
        <v>124</v>
      </c>
      <c r="AF40" s="9">
        <f>AD40+AE40</f>
        <v>1104</v>
      </c>
      <c r="AG40" s="9"/>
      <c r="AH40" s="43"/>
      <c r="AI40" s="44"/>
      <c r="AJ40" s="44"/>
      <c r="AK40" s="45"/>
      <c r="AL40" s="43"/>
      <c r="AM40" s="46"/>
      <c r="AN40" s="46"/>
      <c r="AO40" s="44"/>
      <c r="AP40" s="44"/>
      <c r="AQ40" s="45"/>
    </row>
    <row r="41" spans="1:43" ht="17" thickBot="1" x14ac:dyDescent="0.25">
      <c r="B41" s="47"/>
      <c r="C41" s="48"/>
      <c r="D41" s="2"/>
      <c r="F41" s="24"/>
      <c r="I41" s="9"/>
      <c r="O41" s="96">
        <f>SUMPRODUCT(O25:O40,$E$25:$E$40)/$C$22</f>
        <v>0.41434899999999997</v>
      </c>
      <c r="P41" s="96">
        <f>SUMPRODUCT(P25:P40,$E$25:$E$40)/$C$22</f>
        <v>1.0000100000000003</v>
      </c>
      <c r="Q41" s="96">
        <f>SUMPRODUCT(Q25:Q40,$E$25:$E$40)/$C$22</f>
        <v>0.64305799999999991</v>
      </c>
      <c r="Y41" s="124"/>
      <c r="Z41" s="124"/>
      <c r="AK41" s="5"/>
      <c r="AM41" s="9"/>
    </row>
    <row r="42" spans="1:43" x14ac:dyDescent="0.2">
      <c r="E42" s="49"/>
      <c r="F42" s="9"/>
      <c r="G42" s="9" t="s">
        <v>27</v>
      </c>
      <c r="H42" s="9"/>
      <c r="I42" s="9">
        <f>SUM(I25:I40)</f>
        <v>0</v>
      </c>
      <c r="J42" s="9">
        <f>SUM(J25:J40)</f>
        <v>0</v>
      </c>
      <c r="K42" s="9"/>
      <c r="L42" s="9"/>
      <c r="M42" s="9"/>
      <c r="N42" s="9"/>
      <c r="O42" s="9"/>
      <c r="P42" s="7"/>
      <c r="W42" s="9"/>
      <c r="Y42" s="129">
        <f>SUM(Y25:Y40)</f>
        <v>15637.656374999999</v>
      </c>
      <c r="Z42" s="127"/>
      <c r="AA42" s="5"/>
      <c r="AB42" s="9"/>
      <c r="AC42" s="9"/>
      <c r="AD42" s="9"/>
      <c r="AE42" s="9"/>
      <c r="AF42" s="9"/>
      <c r="AG42" s="9"/>
      <c r="AH42" s="9"/>
    </row>
    <row r="43" spans="1:43" ht="21" x14ac:dyDescent="0.25">
      <c r="A43" s="50" t="s">
        <v>28</v>
      </c>
      <c r="B43" s="50"/>
      <c r="C43" s="51"/>
      <c r="E43" s="52"/>
      <c r="F43" s="9"/>
      <c r="G43" t="s">
        <v>29</v>
      </c>
      <c r="H43" s="9"/>
      <c r="I43" s="9"/>
      <c r="J43" s="9"/>
      <c r="K43" s="9"/>
      <c r="L43" s="9"/>
      <c r="M43" s="9"/>
      <c r="N43" s="9">
        <v>2018</v>
      </c>
      <c r="O43" s="9">
        <v>0.5</v>
      </c>
      <c r="P43" s="9"/>
      <c r="Q43">
        <f>Q41*13.9</f>
        <v>8.9385061999999991</v>
      </c>
      <c r="W43" s="9">
        <f>SUM(W25:W40)</f>
        <v>62550.625499999995</v>
      </c>
      <c r="Y43" s="9"/>
      <c r="Z43" s="5"/>
      <c r="AC43" s="9"/>
      <c r="AD43" s="53"/>
      <c r="AE43" s="54"/>
      <c r="AF43" s="55"/>
      <c r="AG43" s="9"/>
      <c r="AK43" s="9"/>
    </row>
    <row r="44" spans="1:43" x14ac:dyDescent="0.2">
      <c r="A44" s="56" t="s">
        <v>30</v>
      </c>
      <c r="G44" t="s">
        <v>31</v>
      </c>
      <c r="H44" s="9"/>
      <c r="N44">
        <v>2050</v>
      </c>
      <c r="O44" s="9">
        <f>O43*2</f>
        <v>1</v>
      </c>
      <c r="Q44">
        <f>3*0.75</f>
        <v>2.25</v>
      </c>
      <c r="W44" s="9">
        <f>W43/0.005</f>
        <v>12510125.099999998</v>
      </c>
      <c r="Y44" s="9">
        <f>Y42*4</f>
        <v>62550.625499999995</v>
      </c>
      <c r="Z44" s="9">
        <f>19300/Y44</f>
        <v>0.30855007197330109</v>
      </c>
      <c r="AD44" s="17"/>
      <c r="AE44" s="9">
        <v>172.95</v>
      </c>
      <c r="AF44" s="9">
        <v>86</v>
      </c>
      <c r="AG44" s="9">
        <f>4*AE44+AF44*4</f>
        <v>1035.8</v>
      </c>
    </row>
    <row r="45" spans="1:43" x14ac:dyDescent="0.2">
      <c r="E45" s="49"/>
      <c r="F45" s="49"/>
      <c r="G45" s="8" t="s">
        <v>32</v>
      </c>
      <c r="H45" s="8"/>
      <c r="I45" s="8"/>
      <c r="J45" s="8"/>
      <c r="N45" s="49"/>
      <c r="O45" s="49">
        <f>(O44/O43)^(1/(N44-N43+1))-1</f>
        <v>2.1226606315364105E-2</v>
      </c>
      <c r="Q45">
        <f>(Q43+Q44)/16.9</f>
        <v>0.66204178698224847</v>
      </c>
      <c r="AD45" s="17"/>
      <c r="AE45" s="18">
        <v>345</v>
      </c>
      <c r="AF45" s="19">
        <v>173</v>
      </c>
      <c r="AG45" s="9">
        <f>4*AE45+AF45*4</f>
        <v>2072</v>
      </c>
      <c r="AK45" s="9"/>
      <c r="AN45" s="9"/>
    </row>
    <row r="46" spans="1:43" x14ac:dyDescent="0.2">
      <c r="E46" s="57"/>
      <c r="F46" s="58">
        <f>50-18</f>
        <v>32</v>
      </c>
      <c r="G46" s="8" t="s">
        <v>33</v>
      </c>
      <c r="H46" s="8"/>
      <c r="I46" s="8"/>
      <c r="J46" s="8"/>
      <c r="N46" s="58"/>
      <c r="O46" s="58"/>
      <c r="AD46" s="17"/>
      <c r="AE46" s="18">
        <v>345</v>
      </c>
      <c r="AF46" s="19">
        <v>173</v>
      </c>
      <c r="AG46" s="9">
        <f>4*AE46+AF46*4</f>
        <v>2072</v>
      </c>
      <c r="AN46" s="9"/>
    </row>
    <row r="47" spans="1:43" x14ac:dyDescent="0.2">
      <c r="D47" s="58"/>
      <c r="E47" s="59"/>
      <c r="G47" s="8" t="s">
        <v>34</v>
      </c>
      <c r="H47" s="8"/>
      <c r="I47" s="8"/>
      <c r="J47" s="8"/>
      <c r="Q47">
        <f>(O41*13.9+3)/16.9</f>
        <v>0.51831071597633138</v>
      </c>
      <c r="AD47" s="17"/>
      <c r="AE47" s="18">
        <v>345</v>
      </c>
      <c r="AF47" s="19">
        <v>173</v>
      </c>
      <c r="AG47" s="9">
        <f>4*AE47+AF47*4</f>
        <v>2072</v>
      </c>
    </row>
    <row r="48" spans="1:43" x14ac:dyDescent="0.2">
      <c r="AD48" s="43"/>
      <c r="AE48" s="60">
        <v>518</v>
      </c>
      <c r="AF48" s="61">
        <v>259</v>
      </c>
      <c r="AG48" s="9">
        <f>4*AE48+AF48*4</f>
        <v>3108</v>
      </c>
      <c r="AH48" s="9"/>
    </row>
    <row r="50" spans="30:34" x14ac:dyDescent="0.2">
      <c r="AD50" s="10"/>
      <c r="AE50" s="11"/>
      <c r="AF50" s="13"/>
    </row>
    <row r="51" spans="30:34" x14ac:dyDescent="0.2">
      <c r="AD51" s="17"/>
      <c r="AE51" s="18"/>
      <c r="AF51" s="19"/>
    </row>
    <row r="52" spans="30:34" x14ac:dyDescent="0.2">
      <c r="AD52" s="17"/>
      <c r="AE52" s="18"/>
      <c r="AF52" s="19"/>
    </row>
    <row r="53" spans="30:34" x14ac:dyDescent="0.2">
      <c r="AD53" s="17"/>
      <c r="AE53" s="18"/>
      <c r="AF53" s="19"/>
    </row>
    <row r="54" spans="30:34" x14ac:dyDescent="0.2">
      <c r="AD54" s="17"/>
      <c r="AE54" s="18"/>
      <c r="AF54" s="19"/>
    </row>
    <row r="55" spans="30:34" x14ac:dyDescent="0.2">
      <c r="AD55" s="43"/>
      <c r="AE55" s="62"/>
      <c r="AF55" s="63"/>
      <c r="AG55" s="9"/>
      <c r="AH5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69"/>
  <sheetViews>
    <sheetView zoomScale="99" workbookViewId="0">
      <selection activeCell="J1" sqref="J1"/>
    </sheetView>
  </sheetViews>
  <sheetFormatPr baseColWidth="10" defaultRowHeight="15" x14ac:dyDescent="0.2"/>
  <cols>
    <col min="1" max="3" width="10.83203125" style="150"/>
    <col min="4" max="5" width="18.6640625" style="150" bestFit="1" customWidth="1"/>
    <col min="6" max="19" width="10.83203125" style="150"/>
    <col min="20" max="20" width="12.83203125" style="150" bestFit="1" customWidth="1"/>
    <col min="21" max="38" width="10.83203125" style="150"/>
    <col min="39" max="39" width="19.5" style="150" bestFit="1" customWidth="1"/>
    <col min="40" max="40" width="18.83203125" style="150" bestFit="1" customWidth="1"/>
    <col min="41" max="16384" width="10.83203125" style="150"/>
  </cols>
  <sheetData>
    <row r="3" spans="1:29" x14ac:dyDescent="0.2">
      <c r="A3" s="150" t="s">
        <v>288</v>
      </c>
      <c r="B3" s="150" t="s">
        <v>289</v>
      </c>
      <c r="C3" s="150" t="s">
        <v>290</v>
      </c>
      <c r="D3" s="150" t="s">
        <v>291</v>
      </c>
      <c r="F3" s="150">
        <f>F4/13.9</f>
        <v>164.63611681139943</v>
      </c>
    </row>
    <row r="4" spans="1:29" x14ac:dyDescent="0.2">
      <c r="A4" s="151" t="s">
        <v>292</v>
      </c>
      <c r="B4" s="151" t="s">
        <v>293</v>
      </c>
      <c r="C4" s="152">
        <v>2016</v>
      </c>
      <c r="D4" s="176">
        <v>1006.0138999641906</v>
      </c>
      <c r="F4" s="176">
        <f>SUM(D4:D11)</f>
        <v>2288.4420236784522</v>
      </c>
      <c r="G4" s="150">
        <f>F4*0.58</f>
        <v>1327.2963737335022</v>
      </c>
      <c r="H4" s="150">
        <f>G4*0.9</f>
        <v>1194.5667363601519</v>
      </c>
      <c r="I4" s="150">
        <f>H4*6.1/1000</f>
        <v>7.286857091796926</v>
      </c>
      <c r="J4" s="150">
        <f>I4*13.9</f>
        <v>101.28731357597728</v>
      </c>
      <c r="P4" s="150" t="s">
        <v>421</v>
      </c>
      <c r="Q4" s="150" t="s">
        <v>663</v>
      </c>
      <c r="R4" s="150" t="s">
        <v>212</v>
      </c>
      <c r="T4" s="150" t="s">
        <v>212</v>
      </c>
    </row>
    <row r="5" spans="1:29" ht="16" x14ac:dyDescent="0.2">
      <c r="A5" s="151" t="s">
        <v>294</v>
      </c>
      <c r="B5" s="151" t="s">
        <v>293</v>
      </c>
      <c r="C5" s="152">
        <v>2016</v>
      </c>
      <c r="D5" s="176">
        <v>101.41324499198227</v>
      </c>
      <c r="F5" s="150">
        <f>F4*29.3</f>
        <v>67051.351293778644</v>
      </c>
      <c r="Q5" s="150">
        <v>2010</v>
      </c>
      <c r="R5" s="150">
        <v>2010</v>
      </c>
      <c r="Y5" s="4" t="s">
        <v>8</v>
      </c>
      <c r="Z5" s="5" t="s">
        <v>9</v>
      </c>
      <c r="AA5" s="3" t="s">
        <v>7</v>
      </c>
      <c r="AB5" s="3"/>
      <c r="AC5" s="3"/>
    </row>
    <row r="6" spans="1:29" ht="16" x14ac:dyDescent="0.2">
      <c r="A6" s="151" t="s">
        <v>295</v>
      </c>
      <c r="B6" s="151" t="s">
        <v>293</v>
      </c>
      <c r="C6" s="152">
        <v>2016</v>
      </c>
      <c r="D6" s="176">
        <v>707.63713261572184</v>
      </c>
      <c r="F6" s="150">
        <f>F5*0.58</f>
        <v>38889.783750391609</v>
      </c>
      <c r="P6" s="83">
        <v>1</v>
      </c>
      <c r="Q6" s="94">
        <v>0.9</v>
      </c>
      <c r="R6" s="320">
        <v>0.1</v>
      </c>
      <c r="S6" s="92">
        <v>1</v>
      </c>
      <c r="T6" s="319">
        <f t="shared" ref="T6:T21" si="0">R6+(Z6-Y6) *$T$25*EXP(-$T$26*Z6)</f>
        <v>0.27055604731805472</v>
      </c>
      <c r="Y6" s="4">
        <v>64.776200000000003</v>
      </c>
      <c r="Z6" s="163">
        <f>Y6*(1+AA6)^35</f>
        <v>138.64819999999935</v>
      </c>
      <c r="AA6" s="6">
        <v>2.1981000476904322E-2</v>
      </c>
      <c r="AB6" s="6"/>
      <c r="AC6" s="6"/>
    </row>
    <row r="7" spans="1:29" ht="16" x14ac:dyDescent="0.2">
      <c r="A7" s="151" t="s">
        <v>296</v>
      </c>
      <c r="B7" s="151" t="s">
        <v>293</v>
      </c>
      <c r="C7" s="152">
        <v>2016</v>
      </c>
      <c r="D7" s="176">
        <v>272.87383259218888</v>
      </c>
      <c r="P7" s="84">
        <v>2</v>
      </c>
      <c r="Q7" s="94">
        <f>Q6</f>
        <v>0.9</v>
      </c>
      <c r="R7" s="320">
        <v>0.1</v>
      </c>
      <c r="S7" s="95">
        <v>1</v>
      </c>
      <c r="T7" s="319">
        <f t="shared" si="0"/>
        <v>0.21356643374888495</v>
      </c>
      <c r="Y7" s="4">
        <v>444.23600000000005</v>
      </c>
      <c r="Z7" s="163">
        <f t="shared" ref="Z7:Z21" si="1">Y7*(1+AA7)^35</f>
        <v>735.60199999999747</v>
      </c>
      <c r="AA7" s="6">
        <v>1.4513839292197073E-2</v>
      </c>
      <c r="AB7" s="6"/>
      <c r="AC7" s="6"/>
    </row>
    <row r="8" spans="1:29" ht="16" x14ac:dyDescent="0.2">
      <c r="A8" s="151" t="s">
        <v>297</v>
      </c>
      <c r="B8" s="151" t="s">
        <v>293</v>
      </c>
      <c r="C8" s="152">
        <v>2016</v>
      </c>
      <c r="D8" s="176">
        <v>129.72749218945688</v>
      </c>
      <c r="P8" s="83">
        <v>3</v>
      </c>
      <c r="Q8" s="94">
        <f t="shared" ref="Q8:Q21" si="2">Q7</f>
        <v>0.9</v>
      </c>
      <c r="R8" s="320">
        <v>0.1</v>
      </c>
      <c r="S8" s="95">
        <v>1</v>
      </c>
      <c r="T8" s="319">
        <f t="shared" si="0"/>
        <v>0.32804505909076231</v>
      </c>
      <c r="Y8" s="136">
        <v>177.809</v>
      </c>
      <c r="Z8" s="163">
        <f t="shared" si="1"/>
        <v>381.45199999999875</v>
      </c>
      <c r="AA8" s="6">
        <v>2.2047388927449507E-2</v>
      </c>
      <c r="AB8" s="6"/>
      <c r="AC8" s="6"/>
    </row>
    <row r="9" spans="1:29" ht="16" x14ac:dyDescent="0.2">
      <c r="A9" s="151" t="s">
        <v>298</v>
      </c>
      <c r="B9" s="151" t="s">
        <v>293</v>
      </c>
      <c r="C9" s="152">
        <v>2016</v>
      </c>
      <c r="D9" s="176">
        <v>42.107676702023156</v>
      </c>
      <c r="P9" s="83">
        <v>4</v>
      </c>
      <c r="Q9" s="94">
        <f t="shared" si="2"/>
        <v>0.9</v>
      </c>
      <c r="R9" s="320">
        <v>0.1</v>
      </c>
      <c r="S9" s="95">
        <v>1</v>
      </c>
      <c r="T9" s="319">
        <f t="shared" si="0"/>
        <v>0.154936688483514</v>
      </c>
      <c r="Y9" s="4">
        <v>685.05799999999999</v>
      </c>
      <c r="Z9" s="163">
        <f t="shared" si="1"/>
        <v>1088.5460000000048</v>
      </c>
      <c r="AA9" s="6">
        <v>1.3319195906484449E-2</v>
      </c>
      <c r="AB9" s="6"/>
      <c r="AC9" s="6"/>
    </row>
    <row r="10" spans="1:29" ht="16" x14ac:dyDescent="0.2">
      <c r="A10" s="151" t="s">
        <v>299</v>
      </c>
      <c r="B10" s="151" t="s">
        <v>293</v>
      </c>
      <c r="C10" s="152">
        <v>2016</v>
      </c>
      <c r="D10" s="176">
        <v>18.629181199335857</v>
      </c>
      <c r="P10" s="84">
        <v>5</v>
      </c>
      <c r="Q10" s="94">
        <f t="shared" si="2"/>
        <v>0.9</v>
      </c>
      <c r="R10" s="320">
        <v>0.1</v>
      </c>
      <c r="S10" s="95">
        <v>1</v>
      </c>
      <c r="T10" s="319">
        <f t="shared" si="0"/>
        <v>0.33814234711142788</v>
      </c>
      <c r="Y10" s="4">
        <v>168.76579999999998</v>
      </c>
      <c r="Z10" s="163">
        <f t="shared" si="1"/>
        <v>381.37999999999903</v>
      </c>
      <c r="AA10" s="6">
        <v>2.3567257395877839E-2</v>
      </c>
      <c r="AB10" s="6"/>
      <c r="AC10" s="6"/>
    </row>
    <row r="11" spans="1:29" ht="16" x14ac:dyDescent="0.2">
      <c r="A11" s="151" t="s">
        <v>300</v>
      </c>
      <c r="B11" s="151" t="s">
        <v>293</v>
      </c>
      <c r="C11" s="152">
        <v>2016</v>
      </c>
      <c r="D11" s="176">
        <v>10.039563423552231</v>
      </c>
      <c r="P11" s="83">
        <v>6</v>
      </c>
      <c r="Q11" s="94">
        <f t="shared" si="2"/>
        <v>0.9</v>
      </c>
      <c r="R11" s="320">
        <v>0.5</v>
      </c>
      <c r="S11" s="95">
        <v>1</v>
      </c>
      <c r="T11" s="319">
        <f t="shared" si="0"/>
        <v>0.54692310084213658</v>
      </c>
      <c r="Y11" s="136">
        <v>730</v>
      </c>
      <c r="Z11" s="163">
        <f t="shared" si="1"/>
        <v>1172.1970708328872</v>
      </c>
      <c r="AA11" s="6">
        <v>1.3623119615679302E-2</v>
      </c>
      <c r="AB11" s="6"/>
      <c r="AC11" s="6"/>
    </row>
    <row r="12" spans="1:29" ht="16" x14ac:dyDescent="0.2">
      <c r="P12" s="83">
        <v>7</v>
      </c>
      <c r="Q12" s="94">
        <f t="shared" si="2"/>
        <v>0.9</v>
      </c>
      <c r="R12" s="320">
        <v>0.5</v>
      </c>
      <c r="S12" s="95">
        <v>1</v>
      </c>
      <c r="T12" s="319">
        <f t="shared" si="0"/>
        <v>0.52171334319642038</v>
      </c>
      <c r="Y12" s="4">
        <v>984</v>
      </c>
      <c r="Z12" s="163">
        <f t="shared" si="1"/>
        <v>1444.1007785581362</v>
      </c>
      <c r="AA12" s="6">
        <v>1.1020749106555483E-2</v>
      </c>
      <c r="AB12" s="6"/>
      <c r="AC12" s="6"/>
    </row>
    <row r="13" spans="1:29" ht="16" x14ac:dyDescent="0.2">
      <c r="A13" s="150" t="s">
        <v>476</v>
      </c>
      <c r="C13" s="150">
        <v>13.9</v>
      </c>
      <c r="P13" s="84">
        <v>8</v>
      </c>
      <c r="Q13" s="94">
        <f t="shared" si="2"/>
        <v>0.9</v>
      </c>
      <c r="R13" s="320">
        <v>0.5</v>
      </c>
      <c r="S13" s="95">
        <v>1</v>
      </c>
      <c r="T13" s="319">
        <f t="shared" si="0"/>
        <v>0.5071970141638259</v>
      </c>
      <c r="Y13" s="4">
        <v>1300</v>
      </c>
      <c r="Z13" s="163">
        <f t="shared" si="1"/>
        <v>1908.4269803738068</v>
      </c>
      <c r="AA13" s="6">
        <v>1.1029382006227051E-2</v>
      </c>
      <c r="AB13" s="6"/>
      <c r="AC13" s="6"/>
    </row>
    <row r="14" spans="1:29" ht="16" x14ac:dyDescent="0.2">
      <c r="P14" s="83">
        <v>9</v>
      </c>
      <c r="Q14" s="94">
        <f t="shared" si="2"/>
        <v>0.9</v>
      </c>
      <c r="R14" s="320">
        <v>0.5</v>
      </c>
      <c r="S14" s="95">
        <v>1</v>
      </c>
      <c r="T14" s="319">
        <f t="shared" si="0"/>
        <v>0.50307048050657666</v>
      </c>
      <c r="Y14" s="136">
        <v>1540</v>
      </c>
      <c r="Z14" s="163">
        <f t="shared" si="1"/>
        <v>2242.5405198215949</v>
      </c>
      <c r="AA14" s="6">
        <v>1.0795771652960306E-2</v>
      </c>
      <c r="AB14" s="6"/>
      <c r="AC14" s="6"/>
    </row>
    <row r="15" spans="1:29" ht="16" x14ac:dyDescent="0.2">
      <c r="A15" s="174" t="s">
        <v>360</v>
      </c>
      <c r="C15" s="150" t="s">
        <v>366</v>
      </c>
      <c r="I15" s="150" t="s">
        <v>365</v>
      </c>
      <c r="P15" s="83">
        <v>10</v>
      </c>
      <c r="Q15" s="94">
        <f t="shared" si="2"/>
        <v>0.9</v>
      </c>
      <c r="R15" s="320">
        <v>0.5</v>
      </c>
      <c r="S15" s="95">
        <v>1</v>
      </c>
      <c r="T15" s="319">
        <f t="shared" si="0"/>
        <v>0.50437106353191996</v>
      </c>
      <c r="Y15" s="169">
        <v>1500</v>
      </c>
      <c r="Z15" s="163">
        <f t="shared" si="1"/>
        <v>2028.5075293089117</v>
      </c>
      <c r="AA15" s="6">
        <v>8.6611556982227889E-3</v>
      </c>
      <c r="AB15" s="6"/>
      <c r="AC15" s="6"/>
    </row>
    <row r="16" spans="1:29" ht="16" x14ac:dyDescent="0.2">
      <c r="A16" s="174" t="s">
        <v>372</v>
      </c>
      <c r="C16" s="150" t="s">
        <v>12</v>
      </c>
      <c r="D16" s="150" t="s">
        <v>361</v>
      </c>
      <c r="E16" s="150" t="s">
        <v>48</v>
      </c>
      <c r="F16" s="150" t="s">
        <v>49</v>
      </c>
      <c r="G16" s="150" t="s">
        <v>362</v>
      </c>
      <c r="I16" s="150" t="s">
        <v>12</v>
      </c>
      <c r="J16" s="150" t="s">
        <v>361</v>
      </c>
      <c r="K16" s="150" t="s">
        <v>48</v>
      </c>
      <c r="L16" s="150" t="s">
        <v>49</v>
      </c>
      <c r="M16" s="150" t="s">
        <v>362</v>
      </c>
      <c r="P16" s="84">
        <v>11</v>
      </c>
      <c r="Q16" s="94">
        <f t="shared" si="2"/>
        <v>0.9</v>
      </c>
      <c r="R16" s="320">
        <v>0.5</v>
      </c>
      <c r="S16" s="95">
        <v>1</v>
      </c>
      <c r="T16" s="319">
        <f t="shared" si="0"/>
        <v>0.50179261960319632</v>
      </c>
      <c r="Y16" s="4">
        <v>1790.4920000000002</v>
      </c>
      <c r="Z16" s="163">
        <f t="shared" si="1"/>
        <v>2341.7600000000034</v>
      </c>
      <c r="AA16" s="6">
        <v>7.6984055417443908E-3</v>
      </c>
      <c r="AB16" s="6"/>
      <c r="AC16" s="6"/>
    </row>
    <row r="17" spans="1:40" ht="16" x14ac:dyDescent="0.2">
      <c r="P17" s="83">
        <v>12</v>
      </c>
      <c r="Q17" s="94">
        <f t="shared" si="2"/>
        <v>0.9</v>
      </c>
      <c r="R17" s="320">
        <v>0.5</v>
      </c>
      <c r="S17" s="95">
        <v>1</v>
      </c>
      <c r="T17" s="319">
        <f t="shared" si="0"/>
        <v>0.5048727044938125</v>
      </c>
      <c r="Y17" s="166">
        <v>1470</v>
      </c>
      <c r="Z17" s="163">
        <f t="shared" si="1"/>
        <v>1980.2582508118307</v>
      </c>
      <c r="AA17" s="6">
        <v>8.5496228983661382E-3</v>
      </c>
      <c r="AB17" s="6"/>
      <c r="AC17" s="6"/>
    </row>
    <row r="18" spans="1:40" ht="16" x14ac:dyDescent="0.2">
      <c r="A18" s="150" t="s">
        <v>364</v>
      </c>
      <c r="C18" s="150">
        <v>1494</v>
      </c>
      <c r="D18" s="150">
        <v>724</v>
      </c>
      <c r="E18" s="150">
        <v>584</v>
      </c>
      <c r="F18" s="150">
        <v>658</v>
      </c>
      <c r="G18" s="150">
        <v>1150</v>
      </c>
      <c r="I18" s="150">
        <v>0.04</v>
      </c>
      <c r="J18" s="150">
        <v>0.06</v>
      </c>
      <c r="K18" s="150">
        <v>0.15</v>
      </c>
      <c r="L18" s="150">
        <v>0.23</v>
      </c>
      <c r="M18" s="150">
        <v>0.1</v>
      </c>
      <c r="P18" s="83">
        <v>13</v>
      </c>
      <c r="Q18" s="94">
        <f t="shared" si="2"/>
        <v>0.9</v>
      </c>
      <c r="R18" s="320">
        <v>0.5</v>
      </c>
      <c r="S18" s="95">
        <v>1</v>
      </c>
      <c r="T18" s="319">
        <f t="shared" si="0"/>
        <v>0.50525300853758115</v>
      </c>
      <c r="Y18" s="167">
        <v>1470</v>
      </c>
      <c r="Z18" s="163">
        <f t="shared" si="1"/>
        <v>1888.580676052708</v>
      </c>
      <c r="AA18" s="6">
        <v>7.1846345598753913E-3</v>
      </c>
      <c r="AB18" s="6"/>
      <c r="AC18" s="6"/>
    </row>
    <row r="19" spans="1:40" ht="16" x14ac:dyDescent="0.2">
      <c r="A19" s="150" t="s">
        <v>367</v>
      </c>
      <c r="C19" s="150">
        <v>1077</v>
      </c>
      <c r="D19" s="150">
        <v>392</v>
      </c>
      <c r="E19" s="150">
        <v>315</v>
      </c>
      <c r="F19" s="150">
        <v>335</v>
      </c>
      <c r="G19" s="150">
        <v>1031</v>
      </c>
      <c r="I19" s="150">
        <v>0.01</v>
      </c>
      <c r="J19" s="150">
        <v>0.01</v>
      </c>
      <c r="K19" s="150">
        <v>0.02</v>
      </c>
      <c r="L19" s="150">
        <v>0.05</v>
      </c>
      <c r="M19" s="150">
        <v>0.03</v>
      </c>
      <c r="P19" s="84">
        <v>14</v>
      </c>
      <c r="Q19" s="94">
        <f t="shared" si="2"/>
        <v>0.9</v>
      </c>
      <c r="R19" s="320">
        <v>0.5</v>
      </c>
      <c r="S19" s="95">
        <v>1</v>
      </c>
      <c r="T19" s="319">
        <f t="shared" si="0"/>
        <v>0.50105515844482584</v>
      </c>
      <c r="Y19" s="169">
        <v>1998</v>
      </c>
      <c r="Z19" s="163">
        <f t="shared" si="1"/>
        <v>2461.1923542288923</v>
      </c>
      <c r="AA19" s="6">
        <v>5.9749003376856624E-3</v>
      </c>
      <c r="AB19" s="6"/>
      <c r="AC19" s="6"/>
    </row>
    <row r="20" spans="1:40" ht="16" x14ac:dyDescent="0.2">
      <c r="A20" s="150" t="s">
        <v>370</v>
      </c>
      <c r="C20" s="150">
        <v>1423</v>
      </c>
      <c r="D20" s="150">
        <v>713</v>
      </c>
      <c r="E20" s="150">
        <v>1019</v>
      </c>
      <c r="F20" s="150">
        <v>749</v>
      </c>
      <c r="G20" s="150">
        <v>1143</v>
      </c>
      <c r="I20" s="314">
        <v>0.46</v>
      </c>
      <c r="J20" s="314">
        <v>0.41</v>
      </c>
      <c r="K20" s="314">
        <v>0.28000000000000003</v>
      </c>
      <c r="L20" s="314">
        <v>0.32</v>
      </c>
      <c r="M20" s="314">
        <v>0.39</v>
      </c>
      <c r="P20" s="83">
        <v>15</v>
      </c>
      <c r="Q20" s="94">
        <f t="shared" si="2"/>
        <v>0.9</v>
      </c>
      <c r="R20" s="320">
        <v>0.5</v>
      </c>
      <c r="S20" s="95">
        <v>1</v>
      </c>
      <c r="T20" s="319">
        <f t="shared" si="0"/>
        <v>0.50000092040642985</v>
      </c>
      <c r="Y20" s="138">
        <v>4222.76</v>
      </c>
      <c r="Z20" s="163">
        <f t="shared" si="1"/>
        <v>4997.8400000000074</v>
      </c>
      <c r="AA20" s="6">
        <v>4.8263775170049872E-3</v>
      </c>
      <c r="AB20" s="6"/>
      <c r="AC20" s="6"/>
    </row>
    <row r="21" spans="1:40" ht="16" x14ac:dyDescent="0.2">
      <c r="P21" s="83">
        <v>16</v>
      </c>
      <c r="Q21" s="94">
        <f t="shared" si="2"/>
        <v>0.9</v>
      </c>
      <c r="R21" s="321">
        <v>0.1</v>
      </c>
      <c r="S21" s="97">
        <v>1</v>
      </c>
      <c r="T21" s="319">
        <f t="shared" si="0"/>
        <v>0.10901387501960805</v>
      </c>
      <c r="Y21" s="4">
        <v>1037</v>
      </c>
      <c r="Z21" s="163">
        <f t="shared" si="1"/>
        <v>1979.8973480064967</v>
      </c>
      <c r="AA21" s="6">
        <v>1.864928188319892E-2</v>
      </c>
      <c r="AB21" s="6"/>
      <c r="AC21" s="6"/>
    </row>
    <row r="22" spans="1:40" x14ac:dyDescent="0.2">
      <c r="A22" s="174" t="s">
        <v>371</v>
      </c>
      <c r="C22" s="150">
        <v>242</v>
      </c>
      <c r="D22" s="150">
        <v>114</v>
      </c>
      <c r="E22" s="150">
        <v>101</v>
      </c>
      <c r="F22" s="150">
        <v>92</v>
      </c>
      <c r="G22" s="150">
        <v>216</v>
      </c>
      <c r="I22" s="150">
        <v>0.87</v>
      </c>
      <c r="J22" s="150">
        <v>0.85</v>
      </c>
      <c r="K22" s="150">
        <v>0.66</v>
      </c>
      <c r="L22" s="150">
        <v>0.49</v>
      </c>
      <c r="M22" s="150">
        <v>0.53</v>
      </c>
    </row>
    <row r="23" spans="1:40" x14ac:dyDescent="0.2">
      <c r="A23" s="150" t="s">
        <v>477</v>
      </c>
      <c r="T23" s="150" t="s">
        <v>664</v>
      </c>
      <c r="U23" s="150" t="s">
        <v>664</v>
      </c>
    </row>
    <row r="24" spans="1:40" x14ac:dyDescent="0.2">
      <c r="AA24" s="150" t="s">
        <v>693</v>
      </c>
      <c r="AB24" s="324">
        <v>13.9</v>
      </c>
      <c r="AD24" s="150" t="s">
        <v>693</v>
      </c>
      <c r="AE24" s="324">
        <v>13.9</v>
      </c>
      <c r="AG24" s="150" t="s">
        <v>693</v>
      </c>
      <c r="AH24" s="150">
        <v>13.9</v>
      </c>
      <c r="AJ24" s="150" t="s">
        <v>693</v>
      </c>
      <c r="AK24" s="150">
        <v>13.9</v>
      </c>
      <c r="AM24" s="150" t="s">
        <v>693</v>
      </c>
      <c r="AN24" s="150">
        <v>16.899999999999999</v>
      </c>
    </row>
    <row r="25" spans="1:40" x14ac:dyDescent="0.2">
      <c r="A25" s="150" t="s">
        <v>368</v>
      </c>
      <c r="C25" s="173">
        <f t="shared" ref="C25:G26" si="3">C18/$C18</f>
        <v>1</v>
      </c>
      <c r="D25" s="173">
        <f t="shared" si="3"/>
        <v>0.48460508701472554</v>
      </c>
      <c r="E25" s="173">
        <f t="shared" si="3"/>
        <v>0.39089692101740292</v>
      </c>
      <c r="F25" s="173">
        <f t="shared" si="3"/>
        <v>0.44042838018741631</v>
      </c>
      <c r="G25" s="173">
        <f t="shared" si="3"/>
        <v>0.76974564926372158</v>
      </c>
      <c r="T25" s="150">
        <v>3.49E-3</v>
      </c>
      <c r="U25" s="150">
        <v>0.94399999999999995</v>
      </c>
      <c r="AA25" s="150" t="s">
        <v>692</v>
      </c>
      <c r="AB25" s="150">
        <v>0.42</v>
      </c>
      <c r="AD25" s="150" t="s">
        <v>692</v>
      </c>
      <c r="AE25" s="150">
        <v>0.42</v>
      </c>
      <c r="AJ25" s="174" t="s">
        <v>692</v>
      </c>
      <c r="AK25" s="174">
        <v>0.7</v>
      </c>
      <c r="AM25" s="150" t="s">
        <v>692</v>
      </c>
      <c r="AN25" s="150">
        <f>AK25</f>
        <v>0.7</v>
      </c>
    </row>
    <row r="26" spans="1:40" x14ac:dyDescent="0.2">
      <c r="A26" s="150" t="s">
        <v>369</v>
      </c>
      <c r="C26" s="173">
        <f t="shared" si="3"/>
        <v>1</v>
      </c>
      <c r="D26" s="173">
        <f t="shared" si="3"/>
        <v>0.36397400185701023</v>
      </c>
      <c r="E26" s="173">
        <f t="shared" si="3"/>
        <v>0.29247910863509752</v>
      </c>
      <c r="F26" s="173">
        <f t="shared" si="3"/>
        <v>0.31104921077065922</v>
      </c>
      <c r="G26" s="173">
        <f t="shared" si="3"/>
        <v>0.95728876508820804</v>
      </c>
      <c r="T26" s="150">
        <v>2.98E-3</v>
      </c>
      <c r="U26" s="150">
        <v>2.98E-3</v>
      </c>
      <c r="Y26" s="150" t="s">
        <v>349</v>
      </c>
      <c r="AG26" s="150">
        <v>-0.08</v>
      </c>
      <c r="AH26" s="150">
        <v>0.08</v>
      </c>
    </row>
    <row r="27" spans="1:40" x14ac:dyDescent="0.2">
      <c r="A27" s="150" t="s">
        <v>373</v>
      </c>
      <c r="C27" s="172">
        <f>C22/$C22</f>
        <v>1</v>
      </c>
      <c r="D27" s="173">
        <f>D22/$C22</f>
        <v>0.47107438016528924</v>
      </c>
      <c r="E27" s="172">
        <f>E22/$C22</f>
        <v>0.41735537190082644</v>
      </c>
      <c r="F27" s="172">
        <f>F22/$C22</f>
        <v>0.38016528925619836</v>
      </c>
      <c r="G27" s="172">
        <f>G22/$C22</f>
        <v>0.8925619834710744</v>
      </c>
      <c r="AA27" s="327">
        <v>2020</v>
      </c>
      <c r="AB27" s="150" t="s">
        <v>690</v>
      </c>
      <c r="AD27" s="150">
        <v>2050</v>
      </c>
      <c r="AE27" s="150" t="s">
        <v>690</v>
      </c>
      <c r="AG27" s="322" t="s">
        <v>691</v>
      </c>
      <c r="AJ27" s="150">
        <v>2050</v>
      </c>
      <c r="AM27" s="150">
        <v>2050</v>
      </c>
    </row>
    <row r="28" spans="1:40" x14ac:dyDescent="0.2">
      <c r="Q28" s="150" t="s">
        <v>672</v>
      </c>
      <c r="U28" s="322">
        <v>2015</v>
      </c>
      <c r="V28" s="150">
        <v>2020</v>
      </c>
      <c r="W28" s="150">
        <v>2030</v>
      </c>
      <c r="X28" s="150">
        <v>2040</v>
      </c>
      <c r="Y28" s="150">
        <v>2050</v>
      </c>
      <c r="AA28" s="150" t="s">
        <v>663</v>
      </c>
      <c r="AB28" s="150" t="s">
        <v>212</v>
      </c>
      <c r="AD28" s="150" t="s">
        <v>663</v>
      </c>
      <c r="AE28" s="150" t="s">
        <v>212</v>
      </c>
      <c r="AG28" s="150" t="s">
        <v>663</v>
      </c>
      <c r="AH28" s="150" t="s">
        <v>212</v>
      </c>
      <c r="AJ28" s="150" t="s">
        <v>663</v>
      </c>
      <c r="AK28" s="150" t="s">
        <v>212</v>
      </c>
      <c r="AM28" s="150" t="s">
        <v>663</v>
      </c>
      <c r="AN28" s="150" t="s">
        <v>212</v>
      </c>
    </row>
    <row r="29" spans="1:40" x14ac:dyDescent="0.2">
      <c r="A29" s="150" t="s">
        <v>374</v>
      </c>
      <c r="D29" s="175"/>
      <c r="E29" s="175"/>
      <c r="F29" s="175"/>
      <c r="G29" s="175"/>
      <c r="L29" s="150" t="s">
        <v>670</v>
      </c>
      <c r="O29" s="150">
        <v>13.9</v>
      </c>
      <c r="Q29" s="150">
        <v>3</v>
      </c>
      <c r="T29" s="150" t="s">
        <v>12</v>
      </c>
      <c r="U29" s="150">
        <v>0.57999999999999996</v>
      </c>
      <c r="V29" s="150">
        <f>U29</f>
        <v>0.57999999999999996</v>
      </c>
      <c r="W29" s="150">
        <v>0.5</v>
      </c>
      <c r="X29" s="150">
        <f>W29</f>
        <v>0.5</v>
      </c>
      <c r="Y29" s="150">
        <f>X29</f>
        <v>0.5</v>
      </c>
      <c r="AA29" s="150">
        <f>V29</f>
        <v>0.57999999999999996</v>
      </c>
      <c r="AB29" s="150">
        <v>0.5</v>
      </c>
      <c r="AD29" s="150">
        <f>Y29</f>
        <v>0.5</v>
      </c>
      <c r="AE29" s="150">
        <v>0.5</v>
      </c>
      <c r="AG29" s="150">
        <f>AD29</f>
        <v>0.5</v>
      </c>
      <c r="AH29" s="150">
        <f>AE29</f>
        <v>0.5</v>
      </c>
      <c r="AJ29" s="150">
        <f t="shared" ref="AJ29:AK33" si="4">AG29</f>
        <v>0.5</v>
      </c>
      <c r="AK29" s="150">
        <f t="shared" si="4"/>
        <v>0.5</v>
      </c>
      <c r="AM29" s="150">
        <f t="shared" ref="AM29:AN33" si="5">AJ29</f>
        <v>0.5</v>
      </c>
      <c r="AN29" s="150">
        <f t="shared" si="5"/>
        <v>0.5</v>
      </c>
    </row>
    <row r="30" spans="1:40" x14ac:dyDescent="0.2">
      <c r="T30" s="150" t="s">
        <v>41</v>
      </c>
      <c r="U30" s="150">
        <f>1-U29</f>
        <v>0.42000000000000004</v>
      </c>
      <c r="V30" s="150">
        <f>1-V29</f>
        <v>0.42000000000000004</v>
      </c>
      <c r="W30" s="150">
        <f>1-W29</f>
        <v>0.5</v>
      </c>
      <c r="X30" s="150">
        <f>W30</f>
        <v>0.5</v>
      </c>
      <c r="Y30" s="150">
        <f>X30</f>
        <v>0.5</v>
      </c>
      <c r="AA30" s="150">
        <f>V30</f>
        <v>0.42000000000000004</v>
      </c>
      <c r="AB30" s="150">
        <v>0.5</v>
      </c>
      <c r="AD30" s="150">
        <f>Y30</f>
        <v>0.5</v>
      </c>
      <c r="AE30" s="150">
        <v>0.5</v>
      </c>
      <c r="AG30" s="150">
        <f t="shared" ref="AG30:AH45" si="6">AD30</f>
        <v>0.5</v>
      </c>
      <c r="AH30" s="150">
        <f t="shared" si="6"/>
        <v>0.5</v>
      </c>
      <c r="AJ30" s="150">
        <f t="shared" si="4"/>
        <v>0.5</v>
      </c>
      <c r="AK30" s="150">
        <f t="shared" si="4"/>
        <v>0.5</v>
      </c>
      <c r="AM30" s="150">
        <f t="shared" si="5"/>
        <v>0.5</v>
      </c>
      <c r="AN30" s="150">
        <f t="shared" si="5"/>
        <v>0.5</v>
      </c>
    </row>
    <row r="31" spans="1:40" x14ac:dyDescent="0.2">
      <c r="A31" s="150" t="s">
        <v>475</v>
      </c>
      <c r="C31" s="239">
        <f>C34*C22*$C$13</f>
        <v>1950.0599357701262</v>
      </c>
      <c r="D31" s="239">
        <f>D34*D22*$C$13</f>
        <v>111.0475373362102</v>
      </c>
      <c r="E31" s="239">
        <f>E34*E22*$C$13</f>
        <v>113.13027238298694</v>
      </c>
      <c r="F31" s="239">
        <f>F34*F22*$C$13</f>
        <v>293.28528908509691</v>
      </c>
      <c r="G31" s="239">
        <f>G34*G22*$C$13</f>
        <v>120.91995433034207</v>
      </c>
      <c r="I31" s="240">
        <f>SUM(C31:G31)</f>
        <v>2588.4429889047619</v>
      </c>
      <c r="AG31" s="150">
        <f t="shared" si="6"/>
        <v>0</v>
      </c>
      <c r="AH31" s="150">
        <f t="shared" si="6"/>
        <v>0</v>
      </c>
      <c r="AJ31" s="150">
        <f t="shared" si="4"/>
        <v>0</v>
      </c>
      <c r="AK31" s="150">
        <f t="shared" si="4"/>
        <v>0</v>
      </c>
      <c r="AM31" s="150">
        <f t="shared" si="5"/>
        <v>0</v>
      </c>
      <c r="AN31" s="150">
        <f t="shared" si="5"/>
        <v>0</v>
      </c>
    </row>
    <row r="32" spans="1:40" x14ac:dyDescent="0.2">
      <c r="A32" s="150" t="s">
        <v>478</v>
      </c>
      <c r="C32" s="173">
        <f>C31/$I31</f>
        <v>0.7533717930543441</v>
      </c>
      <c r="D32" s="173">
        <f>D31/$I31</f>
        <v>4.2901287690016818E-2</v>
      </c>
      <c r="E32" s="173">
        <f>E31/$I31</f>
        <v>4.370591620828216E-2</v>
      </c>
      <c r="F32" s="173">
        <f>F31/$I31</f>
        <v>0.11330567848789809</v>
      </c>
      <c r="G32" s="173">
        <f>G31/$I31</f>
        <v>4.6715324559458996E-2</v>
      </c>
      <c r="L32" s="150" t="s">
        <v>665</v>
      </c>
      <c r="O32" s="150">
        <v>1</v>
      </c>
      <c r="Q32" s="150">
        <v>1</v>
      </c>
      <c r="T32" s="150" t="s">
        <v>173</v>
      </c>
      <c r="U32" s="173">
        <v>0.9</v>
      </c>
      <c r="V32" s="173">
        <v>0.89</v>
      </c>
      <c r="W32" s="150">
        <v>0.7</v>
      </c>
      <c r="X32" s="150">
        <v>0.4</v>
      </c>
      <c r="Y32" s="150">
        <v>0.2</v>
      </c>
      <c r="AA32" s="328">
        <f t="shared" ref="AA32:AA37" si="7">U32</f>
        <v>0.9</v>
      </c>
      <c r="AB32" s="150">
        <v>0</v>
      </c>
      <c r="AD32" s="150">
        <f>Y32</f>
        <v>0.2</v>
      </c>
      <c r="AE32" s="150">
        <v>0</v>
      </c>
      <c r="AG32" s="150">
        <f t="shared" si="6"/>
        <v>0.2</v>
      </c>
      <c r="AH32" s="150">
        <f t="shared" si="6"/>
        <v>0</v>
      </c>
      <c r="AJ32" s="150">
        <f t="shared" si="4"/>
        <v>0.2</v>
      </c>
      <c r="AK32" s="150">
        <f t="shared" si="4"/>
        <v>0</v>
      </c>
      <c r="AM32" s="150">
        <f t="shared" si="5"/>
        <v>0.2</v>
      </c>
      <c r="AN32" s="150">
        <f t="shared" si="5"/>
        <v>0</v>
      </c>
    </row>
    <row r="33" spans="1:40" x14ac:dyDescent="0.2">
      <c r="L33" s="150" t="s">
        <v>666</v>
      </c>
      <c r="O33" s="150">
        <v>0.57999999999999996</v>
      </c>
      <c r="Q33" s="150">
        <v>0.57999999999999996</v>
      </c>
      <c r="T33" s="150" t="s">
        <v>673</v>
      </c>
      <c r="U33" s="173">
        <v>0.9</v>
      </c>
      <c r="V33" s="173">
        <v>0.89</v>
      </c>
      <c r="W33" s="150">
        <v>0.7</v>
      </c>
      <c r="X33" s="150">
        <v>0.4</v>
      </c>
      <c r="Y33" s="150">
        <v>0.2</v>
      </c>
      <c r="AA33" s="328">
        <f t="shared" si="7"/>
        <v>0.9</v>
      </c>
      <c r="AB33" s="150">
        <v>0</v>
      </c>
      <c r="AD33" s="150">
        <f>Y33</f>
        <v>0.2</v>
      </c>
      <c r="AE33" s="150">
        <v>0</v>
      </c>
      <c r="AG33" s="150">
        <f t="shared" si="6"/>
        <v>0.2</v>
      </c>
      <c r="AH33" s="150">
        <f t="shared" si="6"/>
        <v>0</v>
      </c>
      <c r="AJ33" s="150">
        <f t="shared" si="4"/>
        <v>0.2</v>
      </c>
      <c r="AK33" s="150">
        <f t="shared" si="4"/>
        <v>0</v>
      </c>
      <c r="AM33" s="150">
        <f t="shared" si="5"/>
        <v>0.2</v>
      </c>
      <c r="AN33" s="150">
        <f t="shared" si="5"/>
        <v>0</v>
      </c>
    </row>
    <row r="34" spans="1:40" x14ac:dyDescent="0.2">
      <c r="A34" s="150" t="s">
        <v>474</v>
      </c>
      <c r="C34" s="238">
        <f>Residential_RASS!D9</f>
        <v>0.57971934590942575</v>
      </c>
      <c r="D34" s="238">
        <f>Residential_RASS!E9</f>
        <v>7.0079223359971091E-2</v>
      </c>
      <c r="E34" s="238">
        <f>Residential_RASS!F9</f>
        <v>8.05828566016005E-2</v>
      </c>
      <c r="F34" s="238">
        <f>Residential_RASS!G9</f>
        <v>0.22934414223107358</v>
      </c>
      <c r="G34" s="238">
        <f>Residential_RASS!H9</f>
        <v>4.0274431897929015E-2</v>
      </c>
      <c r="T34" s="150" t="s">
        <v>174</v>
      </c>
      <c r="U34" s="173">
        <f>1-U32</f>
        <v>9.9999999999999978E-2</v>
      </c>
      <c r="V34" s="173">
        <v>9.9000000000000005E-2</v>
      </c>
      <c r="W34" s="150">
        <v>0</v>
      </c>
      <c r="X34" s="150">
        <v>0</v>
      </c>
      <c r="Y34" s="150">
        <v>0</v>
      </c>
      <c r="AA34" s="328">
        <f t="shared" si="7"/>
        <v>9.9999999999999978E-2</v>
      </c>
    </row>
    <row r="35" spans="1:40" x14ac:dyDescent="0.2">
      <c r="L35" s="150" t="s">
        <v>667</v>
      </c>
      <c r="O35" s="150">
        <f>O32*0.4</f>
        <v>0.4</v>
      </c>
      <c r="Q35" s="150">
        <f>Q32*0.4</f>
        <v>0.4</v>
      </c>
      <c r="T35" s="150" t="s">
        <v>680</v>
      </c>
      <c r="U35" s="173">
        <f>1-U33</f>
        <v>9.9999999999999978E-2</v>
      </c>
      <c r="V35" s="173">
        <v>9.9000000000000005E-2</v>
      </c>
      <c r="W35" s="150">
        <v>0</v>
      </c>
      <c r="X35" s="150">
        <v>0</v>
      </c>
      <c r="Y35" s="150">
        <v>0</v>
      </c>
      <c r="AA35" s="328">
        <f t="shared" si="7"/>
        <v>9.9999999999999978E-2</v>
      </c>
      <c r="AG35" s="150">
        <f t="shared" si="6"/>
        <v>0</v>
      </c>
      <c r="AH35" s="150">
        <f t="shared" si="6"/>
        <v>0</v>
      </c>
      <c r="AJ35" s="150">
        <f t="shared" ref="AJ35:AK38" si="8">AG35</f>
        <v>0</v>
      </c>
      <c r="AK35" s="150">
        <f t="shared" si="8"/>
        <v>0</v>
      </c>
      <c r="AM35" s="150">
        <f t="shared" ref="AM35:AN38" si="9">AJ35</f>
        <v>0</v>
      </c>
      <c r="AN35" s="150">
        <f t="shared" si="9"/>
        <v>0</v>
      </c>
    </row>
    <row r="36" spans="1:40" x14ac:dyDescent="0.2">
      <c r="A36" s="150" t="s">
        <v>660</v>
      </c>
      <c r="L36" s="150" t="s">
        <v>668</v>
      </c>
      <c r="O36" s="150">
        <f>1-O33</f>
        <v>0.42000000000000004</v>
      </c>
      <c r="Q36" s="150">
        <f>1-Q33</f>
        <v>0.42000000000000004</v>
      </c>
      <c r="T36" s="150" t="s">
        <v>681</v>
      </c>
      <c r="U36" s="173">
        <v>0</v>
      </c>
      <c r="V36" s="173">
        <f>(1-V32-V34)</f>
        <v>1.0999999999999982E-2</v>
      </c>
      <c r="W36" s="173">
        <v>0.3</v>
      </c>
      <c r="X36" s="175">
        <v>0.6</v>
      </c>
      <c r="Y36" s="175">
        <v>0.8</v>
      </c>
      <c r="AA36" s="328">
        <f t="shared" si="7"/>
        <v>0</v>
      </c>
      <c r="AB36" s="175">
        <v>0.8</v>
      </c>
      <c r="AD36" s="175">
        <f>Y36</f>
        <v>0.8</v>
      </c>
      <c r="AE36" s="175">
        <v>0.8</v>
      </c>
      <c r="AG36" s="150">
        <f t="shared" si="6"/>
        <v>0.8</v>
      </c>
      <c r="AH36" s="150">
        <f t="shared" si="6"/>
        <v>0.8</v>
      </c>
      <c r="AJ36" s="150">
        <f t="shared" si="8"/>
        <v>0.8</v>
      </c>
      <c r="AK36" s="150">
        <f t="shared" si="8"/>
        <v>0.8</v>
      </c>
      <c r="AM36" s="150">
        <f t="shared" si="9"/>
        <v>0.8</v>
      </c>
      <c r="AN36" s="150">
        <f t="shared" si="9"/>
        <v>0.8</v>
      </c>
    </row>
    <row r="37" spans="1:40" x14ac:dyDescent="0.2">
      <c r="T37" s="150" t="s">
        <v>682</v>
      </c>
      <c r="U37" s="173">
        <v>0</v>
      </c>
      <c r="V37" s="173">
        <f>(1-V33-V35)</f>
        <v>1.0999999999999982E-2</v>
      </c>
      <c r="W37" s="173">
        <v>0.3</v>
      </c>
      <c r="X37" s="175">
        <v>0.6</v>
      </c>
      <c r="Y37" s="175">
        <v>0.8</v>
      </c>
      <c r="AA37" s="328">
        <f t="shared" si="7"/>
        <v>0</v>
      </c>
      <c r="AB37" s="175">
        <v>0.8</v>
      </c>
      <c r="AD37" s="175">
        <f>Y37</f>
        <v>0.8</v>
      </c>
      <c r="AE37" s="175">
        <v>0.8</v>
      </c>
      <c r="AG37" s="150">
        <f t="shared" si="6"/>
        <v>0.8</v>
      </c>
      <c r="AH37" s="150">
        <f t="shared" si="6"/>
        <v>0.8</v>
      </c>
      <c r="AJ37" s="150">
        <f t="shared" si="8"/>
        <v>0.8</v>
      </c>
      <c r="AK37" s="150">
        <f t="shared" si="8"/>
        <v>0.8</v>
      </c>
      <c r="AM37" s="150">
        <f t="shared" si="9"/>
        <v>0.8</v>
      </c>
      <c r="AN37" s="150">
        <f t="shared" si="9"/>
        <v>0.8</v>
      </c>
    </row>
    <row r="38" spans="1:40" x14ac:dyDescent="0.2">
      <c r="A38" s="150">
        <v>2020</v>
      </c>
      <c r="C38" s="175">
        <f>C34</f>
        <v>0.57971934590942575</v>
      </c>
      <c r="D38" s="175">
        <f>D34</f>
        <v>7.0079223359971091E-2</v>
      </c>
      <c r="E38" s="175">
        <f>E34</f>
        <v>8.05828566016005E-2</v>
      </c>
      <c r="F38" s="175">
        <f>F34</f>
        <v>0.22934414223107358</v>
      </c>
      <c r="G38" s="175">
        <f>G34</f>
        <v>4.0274431897929015E-2</v>
      </c>
      <c r="L38" s="150" t="s">
        <v>669</v>
      </c>
      <c r="O38" s="323">
        <f>O32*O33+O35*O36</f>
        <v>0.748</v>
      </c>
      <c r="P38" s="323"/>
      <c r="Q38" s="323">
        <f>Q32*Q33+Q35*Q36</f>
        <v>0.748</v>
      </c>
      <c r="AG38" s="150">
        <f t="shared" si="6"/>
        <v>0</v>
      </c>
      <c r="AH38" s="150">
        <f t="shared" si="6"/>
        <v>0</v>
      </c>
      <c r="AJ38" s="150">
        <f t="shared" si="8"/>
        <v>0</v>
      </c>
      <c r="AK38" s="150">
        <f t="shared" si="8"/>
        <v>0</v>
      </c>
      <c r="AM38" s="150">
        <f t="shared" si="9"/>
        <v>0</v>
      </c>
      <c r="AN38" s="150">
        <f t="shared" si="9"/>
        <v>0</v>
      </c>
    </row>
    <row r="39" spans="1:40" x14ac:dyDescent="0.2">
      <c r="A39" s="150">
        <v>2030</v>
      </c>
    </row>
    <row r="40" spans="1:40" x14ac:dyDescent="0.2">
      <c r="C40" s="175">
        <f>C38</f>
        <v>0.57971934590942575</v>
      </c>
      <c r="D40" s="238">
        <f>SUMPRODUCT(D27:F27,D38:F38)/SUM(D38:F38)</f>
        <v>0.40481678451322822</v>
      </c>
      <c r="E40" s="315">
        <f>G38*G27</f>
        <v>3.5947426817986232E-2</v>
      </c>
      <c r="F40" s="175"/>
      <c r="L40" s="150" t="s">
        <v>671</v>
      </c>
      <c r="O40" s="150">
        <f>O29*O38</f>
        <v>10.3972</v>
      </c>
      <c r="Q40" s="150">
        <f>Q29*Q38</f>
        <v>2.2439999999999998</v>
      </c>
      <c r="T40" s="150" t="s">
        <v>674</v>
      </c>
      <c r="U40" s="325">
        <f t="shared" ref="U40:Y41" si="10">U29*U32</f>
        <v>0.52200000000000002</v>
      </c>
      <c r="V40" s="325">
        <f t="shared" si="10"/>
        <v>0.51619999999999999</v>
      </c>
      <c r="W40" s="325">
        <f t="shared" si="10"/>
        <v>0.35</v>
      </c>
      <c r="X40" s="325">
        <f t="shared" si="10"/>
        <v>0.2</v>
      </c>
      <c r="Y40" s="325">
        <f t="shared" si="10"/>
        <v>0.1</v>
      </c>
      <c r="AA40" s="325">
        <f>AA29*AA32</f>
        <v>0.52200000000000002</v>
      </c>
      <c r="AB40" s="325">
        <v>0</v>
      </c>
      <c r="AD40" s="325">
        <f>AD29*AD32</f>
        <v>0.1</v>
      </c>
      <c r="AE40" s="325">
        <v>0</v>
      </c>
      <c r="AG40" s="150">
        <f t="shared" si="6"/>
        <v>0.1</v>
      </c>
      <c r="AH40" s="150">
        <f t="shared" si="6"/>
        <v>0</v>
      </c>
      <c r="AJ40" s="150">
        <f t="shared" ref="AJ40:AJ45" si="11">AG40</f>
        <v>0.1</v>
      </c>
      <c r="AK40" s="150">
        <f>AH40</f>
        <v>0</v>
      </c>
      <c r="AM40" s="150">
        <f t="shared" ref="AM40:AM45" si="12">AJ40</f>
        <v>0.1</v>
      </c>
      <c r="AN40" s="150">
        <f>AK40</f>
        <v>0</v>
      </c>
    </row>
    <row r="41" spans="1:40" x14ac:dyDescent="0.2">
      <c r="C41" s="150">
        <f>0.58+0.38*0.4+0.4*0.9</f>
        <v>1.0920000000000001</v>
      </c>
      <c r="T41" s="150" t="s">
        <v>675</v>
      </c>
      <c r="U41" s="325">
        <f t="shared" si="10"/>
        <v>0.37800000000000006</v>
      </c>
      <c r="V41" s="325">
        <f t="shared" si="10"/>
        <v>0.37380000000000002</v>
      </c>
      <c r="W41" s="325">
        <f t="shared" si="10"/>
        <v>0.35</v>
      </c>
      <c r="X41" s="325">
        <f t="shared" si="10"/>
        <v>0.2</v>
      </c>
      <c r="Y41" s="325">
        <f t="shared" si="10"/>
        <v>0.1</v>
      </c>
      <c r="AA41" s="325">
        <f>AA30*AA33</f>
        <v>0.37800000000000006</v>
      </c>
      <c r="AB41" s="150">
        <v>0</v>
      </c>
      <c r="AD41" s="325">
        <f>AD30*AD33</f>
        <v>0.1</v>
      </c>
      <c r="AE41" s="150">
        <v>0</v>
      </c>
      <c r="AG41" s="150">
        <f t="shared" si="6"/>
        <v>0.1</v>
      </c>
      <c r="AH41" s="150">
        <f t="shared" si="6"/>
        <v>0</v>
      </c>
      <c r="AJ41" s="150">
        <f t="shared" si="11"/>
        <v>0.1</v>
      </c>
      <c r="AK41" s="150">
        <f>AH41</f>
        <v>0</v>
      </c>
      <c r="AM41" s="150">
        <f t="shared" si="12"/>
        <v>0.1</v>
      </c>
      <c r="AN41" s="150">
        <f>AK41</f>
        <v>0</v>
      </c>
    </row>
    <row r="42" spans="1:40" x14ac:dyDescent="0.2">
      <c r="T42" s="150" t="s">
        <v>676</v>
      </c>
      <c r="U42" s="325">
        <f t="shared" ref="U42:Y43" si="13">U29*U34</f>
        <v>5.7999999999999982E-2</v>
      </c>
      <c r="V42" s="325">
        <f t="shared" si="13"/>
        <v>5.7419999999999999E-2</v>
      </c>
      <c r="W42" s="325">
        <f t="shared" si="13"/>
        <v>0</v>
      </c>
      <c r="X42" s="325">
        <f t="shared" si="13"/>
        <v>0</v>
      </c>
      <c r="Y42" s="325">
        <f t="shared" si="13"/>
        <v>0</v>
      </c>
      <c r="AA42" s="325">
        <f>AA29*AA34</f>
        <v>5.7999999999999982E-2</v>
      </c>
      <c r="AB42" s="150">
        <v>0</v>
      </c>
      <c r="AD42" s="325">
        <f>AD29*AD34</f>
        <v>0</v>
      </c>
      <c r="AE42" s="150">
        <v>0</v>
      </c>
      <c r="AG42" s="150">
        <f t="shared" si="6"/>
        <v>0</v>
      </c>
      <c r="AH42" s="150">
        <f t="shared" si="6"/>
        <v>0</v>
      </c>
      <c r="AJ42" s="150">
        <f t="shared" si="11"/>
        <v>0</v>
      </c>
      <c r="AK42" s="150">
        <f>AH42</f>
        <v>0</v>
      </c>
      <c r="AM42" s="150">
        <f t="shared" si="12"/>
        <v>0</v>
      </c>
      <c r="AN42" s="150">
        <f>AK42</f>
        <v>0</v>
      </c>
    </row>
    <row r="43" spans="1:40" x14ac:dyDescent="0.2">
      <c r="T43" s="150" t="s">
        <v>677</v>
      </c>
      <c r="U43" s="325">
        <f t="shared" si="13"/>
        <v>4.1999999999999996E-2</v>
      </c>
      <c r="V43" s="325">
        <f t="shared" si="13"/>
        <v>4.1580000000000006E-2</v>
      </c>
      <c r="W43" s="325">
        <f t="shared" si="13"/>
        <v>0</v>
      </c>
      <c r="X43" s="325">
        <f t="shared" si="13"/>
        <v>0</v>
      </c>
      <c r="Y43" s="325">
        <f t="shared" si="13"/>
        <v>0</v>
      </c>
      <c r="AA43" s="325">
        <f>AA30*AA35</f>
        <v>4.1999999999999996E-2</v>
      </c>
      <c r="AB43" s="150">
        <v>0</v>
      </c>
      <c r="AD43" s="325">
        <f>AD30*AD35</f>
        <v>0</v>
      </c>
      <c r="AE43" s="150">
        <v>0</v>
      </c>
      <c r="AG43" s="150">
        <f t="shared" si="6"/>
        <v>0</v>
      </c>
      <c r="AH43" s="150">
        <f t="shared" si="6"/>
        <v>0</v>
      </c>
      <c r="AJ43" s="150">
        <f t="shared" si="11"/>
        <v>0</v>
      </c>
      <c r="AK43" s="150">
        <f>AH43</f>
        <v>0</v>
      </c>
      <c r="AM43" s="150">
        <f t="shared" si="12"/>
        <v>0</v>
      </c>
      <c r="AN43" s="150">
        <f>AK43</f>
        <v>0</v>
      </c>
    </row>
    <row r="44" spans="1:40" x14ac:dyDescent="0.2">
      <c r="B44" s="150" t="s">
        <v>12</v>
      </c>
      <c r="C44" s="150">
        <f>13.8*0.58</f>
        <v>8.0039999999999996</v>
      </c>
      <c r="D44" s="150">
        <v>1</v>
      </c>
      <c r="T44" s="150" t="s">
        <v>678</v>
      </c>
      <c r="U44" s="325">
        <f t="shared" ref="U44:Y45" si="14">U29*U36</f>
        <v>0</v>
      </c>
      <c r="V44" s="325">
        <f t="shared" si="14"/>
        <v>6.379999999999989E-3</v>
      </c>
      <c r="W44" s="325">
        <f t="shared" si="14"/>
        <v>0.15</v>
      </c>
      <c r="X44" s="325">
        <f t="shared" si="14"/>
        <v>0.3</v>
      </c>
      <c r="Y44" s="325">
        <f t="shared" si="14"/>
        <v>0.4</v>
      </c>
      <c r="AA44" s="325">
        <f>AA29*AA36</f>
        <v>0</v>
      </c>
      <c r="AB44" s="325">
        <f>$AE$25*AB29</f>
        <v>0.21</v>
      </c>
      <c r="AD44" s="325">
        <f>AD29*AD36</f>
        <v>0.4</v>
      </c>
      <c r="AE44" s="325">
        <f>$AE$25*AE29</f>
        <v>0.21</v>
      </c>
      <c r="AG44" s="150">
        <f t="shared" si="6"/>
        <v>0.4</v>
      </c>
      <c r="AH44" s="325">
        <f>AE44</f>
        <v>0.21</v>
      </c>
      <c r="AJ44" s="150">
        <f t="shared" si="11"/>
        <v>0.4</v>
      </c>
      <c r="AK44" s="325">
        <f>AK29*$AK$25</f>
        <v>0.35</v>
      </c>
      <c r="AM44" s="150">
        <f t="shared" si="12"/>
        <v>0.4</v>
      </c>
      <c r="AN44" s="325">
        <f>AN29*$AK$25</f>
        <v>0.35</v>
      </c>
    </row>
    <row r="45" spans="1:40" x14ac:dyDescent="0.2">
      <c r="B45" s="150" t="s">
        <v>662</v>
      </c>
      <c r="C45" s="150">
        <f>13.9-C44</f>
        <v>5.8960000000000008</v>
      </c>
      <c r="D45" s="150">
        <v>0.4</v>
      </c>
      <c r="T45" s="150" t="s">
        <v>679</v>
      </c>
      <c r="U45" s="325">
        <f t="shared" si="14"/>
        <v>0</v>
      </c>
      <c r="V45" s="325">
        <f t="shared" si="14"/>
        <v>4.619999999999993E-3</v>
      </c>
      <c r="W45" s="325">
        <f t="shared" si="14"/>
        <v>0.15</v>
      </c>
      <c r="X45" s="325">
        <f t="shared" si="14"/>
        <v>0.3</v>
      </c>
      <c r="Y45" s="325">
        <f t="shared" si="14"/>
        <v>0.4</v>
      </c>
      <c r="AA45" s="325">
        <f>AA30*AA37</f>
        <v>0</v>
      </c>
      <c r="AB45" s="325">
        <f>$AE$25*AB30</f>
        <v>0.21</v>
      </c>
      <c r="AD45" s="325">
        <f>AD30*AD37</f>
        <v>0.4</v>
      </c>
      <c r="AE45" s="325">
        <f>$AE$25*AE30</f>
        <v>0.21</v>
      </c>
      <c r="AG45" s="150">
        <f t="shared" si="6"/>
        <v>0.4</v>
      </c>
      <c r="AH45" s="150">
        <f t="shared" si="6"/>
        <v>0.21</v>
      </c>
      <c r="AJ45" s="150">
        <f t="shared" si="11"/>
        <v>0.4</v>
      </c>
      <c r="AK45" s="325">
        <f>AK30*$AK$25</f>
        <v>0.35</v>
      </c>
      <c r="AM45" s="150">
        <f t="shared" si="12"/>
        <v>0.4</v>
      </c>
      <c r="AN45" s="325">
        <f>AN30*$AK$25</f>
        <v>0.35</v>
      </c>
    </row>
    <row r="46" spans="1:40" x14ac:dyDescent="0.2">
      <c r="B46" s="150" t="s">
        <v>661</v>
      </c>
      <c r="C46" s="150">
        <v>0.5</v>
      </c>
      <c r="D46" s="150">
        <v>1</v>
      </c>
    </row>
    <row r="47" spans="1:40" x14ac:dyDescent="0.2">
      <c r="C47" s="150">
        <f>3-C46</f>
        <v>2.5</v>
      </c>
      <c r="D47" s="150">
        <v>0.4</v>
      </c>
      <c r="T47" s="150" t="s">
        <v>71</v>
      </c>
      <c r="U47" s="324">
        <f>SUM(U40:U45)</f>
        <v>1</v>
      </c>
      <c r="V47" s="324">
        <f>SUM(V40:V45)</f>
        <v>1</v>
      </c>
      <c r="W47" s="324">
        <f>SUM(W40:W45)</f>
        <v>1</v>
      </c>
      <c r="X47" s="324">
        <f>SUM(X40:X45)</f>
        <v>1</v>
      </c>
      <c r="Y47" s="324">
        <f>SUM(Y40:Y45)</f>
        <v>1</v>
      </c>
      <c r="AA47" s="324">
        <f>SUM(AA40:AA45)</f>
        <v>1</v>
      </c>
      <c r="AB47" s="324">
        <f>SUM(AB40:AB45)</f>
        <v>0.42</v>
      </c>
      <c r="AD47" s="324">
        <f>SUM(AD40:AD45)</f>
        <v>1</v>
      </c>
      <c r="AE47" s="324">
        <f>SUM(AE40:AE45)</f>
        <v>0.42</v>
      </c>
    </row>
    <row r="49" spans="4:40" x14ac:dyDescent="0.2">
      <c r="T49" s="150" t="s">
        <v>683</v>
      </c>
      <c r="U49" s="150">
        <v>1</v>
      </c>
      <c r="V49" s="150">
        <v>1</v>
      </c>
      <c r="W49" s="150">
        <v>1</v>
      </c>
      <c r="X49" s="150">
        <v>1</v>
      </c>
      <c r="Y49" s="150">
        <v>1</v>
      </c>
      <c r="AA49" s="150">
        <f>V49</f>
        <v>1</v>
      </c>
      <c r="AB49" s="150">
        <f>AA49</f>
        <v>1</v>
      </c>
      <c r="AD49" s="150">
        <f>Y49</f>
        <v>1</v>
      </c>
      <c r="AE49" s="150">
        <f>AD49</f>
        <v>1</v>
      </c>
      <c r="AG49" s="150">
        <f>AD49*(1+AG26)</f>
        <v>0.92</v>
      </c>
      <c r="AH49" s="150">
        <f>AE49*(1+AH26)</f>
        <v>1.08</v>
      </c>
      <c r="AJ49" s="150">
        <f>AG49*(1+AJ26)</f>
        <v>0.92</v>
      </c>
      <c r="AK49" s="150">
        <f>AH49*(1+AK26)</f>
        <v>1.08</v>
      </c>
      <c r="AM49" s="150">
        <f>AJ49*(1+AM26)</f>
        <v>0.92</v>
      </c>
      <c r="AN49" s="150">
        <f>AK49*(1+AN26)</f>
        <v>1.08</v>
      </c>
    </row>
    <row r="50" spans="4:40" x14ac:dyDescent="0.2">
      <c r="D50" s="173">
        <f>SUMPRODUCT(C44:C47,D44:D47)/SUM(C44:C47)</f>
        <v>0.7019171597633137</v>
      </c>
      <c r="T50" s="150" t="s">
        <v>685</v>
      </c>
      <c r="U50" s="150">
        <v>0.4</v>
      </c>
      <c r="V50" s="150">
        <v>0.4</v>
      </c>
      <c r="W50" s="150">
        <v>0.4</v>
      </c>
      <c r="X50" s="150">
        <v>0.4</v>
      </c>
      <c r="Y50" s="150">
        <v>0.4</v>
      </c>
      <c r="AA50" s="150">
        <f>V50</f>
        <v>0.4</v>
      </c>
      <c r="AB50" s="150">
        <f>AA50</f>
        <v>0.4</v>
      </c>
      <c r="AD50" s="150">
        <f>Y50</f>
        <v>0.4</v>
      </c>
      <c r="AE50" s="150">
        <f>AD50</f>
        <v>0.4</v>
      </c>
      <c r="AG50" s="150">
        <f>AD50*(1+AG26)</f>
        <v>0.36800000000000005</v>
      </c>
      <c r="AH50" s="150">
        <f>AE50*(1+AH26)</f>
        <v>0.43200000000000005</v>
      </c>
      <c r="AJ50" s="150">
        <f>AG50*(1+AJ26)</f>
        <v>0.36800000000000005</v>
      </c>
      <c r="AK50" s="150">
        <f>AH50*(1+AK26)</f>
        <v>0.43200000000000005</v>
      </c>
      <c r="AM50" s="150">
        <f>AJ50*(1+AM26)</f>
        <v>0.36800000000000005</v>
      </c>
      <c r="AN50" s="150">
        <f>AK50*(1+AN26)</f>
        <v>0.43200000000000005</v>
      </c>
    </row>
    <row r="52" spans="4:40" x14ac:dyDescent="0.2">
      <c r="T52" s="150" t="s">
        <v>683</v>
      </c>
      <c r="U52" s="150">
        <f>(U40*U59+U42*U60+U44*U61)*U49</f>
        <v>2900</v>
      </c>
      <c r="V52" s="150">
        <f>(V40*V59+V42*V60+V44*V61)*V49</f>
        <v>2884.0499999999997</v>
      </c>
      <c r="W52" s="150">
        <f>(W40*W59+W42*W60+W44*W61)*W49</f>
        <v>2125</v>
      </c>
      <c r="X52" s="150">
        <f>(X40*X59+X42*X60+X44*X61)*X49</f>
        <v>1750</v>
      </c>
      <c r="Y52" s="150">
        <f>(Y40*Y59+Y42*Y60+Y44*Y61)*Y49</f>
        <v>1500</v>
      </c>
      <c r="AA52" s="150">
        <f>(AA40*AA59+AA42*AA60+AA44*AA61)*AA49</f>
        <v>2900</v>
      </c>
      <c r="AB52" s="150">
        <f>(AB40*AB59+AB42*AB60+AB44*AB61)*AB49</f>
        <v>525</v>
      </c>
      <c r="AD52" s="150">
        <f>(AD40*AD59+AD42*AD60+AD44*AD61)*AD49</f>
        <v>1500</v>
      </c>
      <c r="AE52" s="150">
        <f>(AE40*AE59+AE42*AE60+AE44*AE61)*AE49</f>
        <v>525</v>
      </c>
      <c r="AG52" s="150">
        <f>(AG40*AG59+AG42*AG60+AG44*AG61)*AG49</f>
        <v>1380</v>
      </c>
      <c r="AH52" s="150">
        <f>(AH40*AH59+AH42*AH60+AH44*AH61)*AH49</f>
        <v>567</v>
      </c>
      <c r="AJ52" s="150">
        <f>(AJ40*AJ59+AJ42*AJ60+AJ44*AJ61)*AJ49</f>
        <v>1380</v>
      </c>
      <c r="AK52" s="150">
        <f>(AK40*AK59+AK42*AK60+AK44*AK61)*AK49</f>
        <v>945.00000000000011</v>
      </c>
      <c r="AM52" s="150">
        <f>(AM40*AM59+AM42*AM60+AM44*AM61)*AM49</f>
        <v>1380</v>
      </c>
      <c r="AN52" s="150">
        <f>(AN40*AN59+AN42*AN60+AN44*AN61)*AN49</f>
        <v>945.00000000000011</v>
      </c>
    </row>
    <row r="53" spans="4:40" x14ac:dyDescent="0.2">
      <c r="T53" s="150" t="s">
        <v>684</v>
      </c>
      <c r="U53" s="150">
        <f>(U41*U59+U43*U60+U45*U61)*U50</f>
        <v>840</v>
      </c>
      <c r="V53" s="150">
        <f>(V41*V59+V43*V60+V45*V61)*V50</f>
        <v>835.38000000000011</v>
      </c>
      <c r="W53" s="150">
        <f>(W41*W59+W43*W60+W45*W61)*W50</f>
        <v>850</v>
      </c>
      <c r="X53" s="150">
        <f>(X41*X59+X43*X60+X45*X61)*X50</f>
        <v>700</v>
      </c>
      <c r="Y53" s="150">
        <f>(Y41*Y59+Y43*Y60+Y45*Y61)*Y50</f>
        <v>600</v>
      </c>
      <c r="AA53" s="150">
        <f>(AA41*AA59+AA43*AA60+AA45*AA61)*AA50</f>
        <v>840</v>
      </c>
      <c r="AB53" s="150">
        <f>(AB41*AB59+AB43*AB60+AB45*AB61)*AB50</f>
        <v>210</v>
      </c>
      <c r="AD53" s="150">
        <f>(AD41*AD59+AD43*AD60+AD45*AD61)*AD50</f>
        <v>600</v>
      </c>
      <c r="AE53" s="150">
        <f>(AE41*AE59+AE43*AE60+AE45*AE61)*AE50</f>
        <v>210</v>
      </c>
      <c r="AG53" s="150">
        <f>(AG41*AG59+AG43*AG60+AG45*AG61)*AG50</f>
        <v>552.00000000000011</v>
      </c>
      <c r="AH53" s="150">
        <f>(AH41*AH59+AH43*AH60+AH45*AH61)*AH50</f>
        <v>226.80000000000004</v>
      </c>
      <c r="AJ53" s="150">
        <f>(AJ41*AJ59+AJ43*AJ60+AJ45*AJ61)*AJ50</f>
        <v>552.00000000000011</v>
      </c>
      <c r="AK53" s="150">
        <f>(AK41*AK59+AK43*AK60+AK45*AK61)*AK50</f>
        <v>378.00000000000006</v>
      </c>
      <c r="AM53" s="150">
        <f>(AM41*AM59+AM43*AM60+AM45*AM61)*AM50</f>
        <v>552.00000000000011</v>
      </c>
      <c r="AN53" s="150">
        <f>(AN41*AN59+AN43*AN60+AN45*AN61)*AN50</f>
        <v>378.00000000000006</v>
      </c>
    </row>
    <row r="55" spans="4:40" x14ac:dyDescent="0.2">
      <c r="T55" s="150" t="s">
        <v>686</v>
      </c>
      <c r="U55" s="150">
        <f>U52+U53</f>
        <v>3740</v>
      </c>
      <c r="V55" s="150">
        <f>V52+V53</f>
        <v>3719.43</v>
      </c>
      <c r="W55" s="150">
        <f>W52+W53</f>
        <v>2975</v>
      </c>
      <c r="X55" s="150">
        <f>X52+X53</f>
        <v>2450</v>
      </c>
      <c r="Y55" s="150">
        <f>Y52+Y53</f>
        <v>2100</v>
      </c>
      <c r="AA55" s="150">
        <f>AA52+AA53</f>
        <v>3740</v>
      </c>
      <c r="AB55" s="150">
        <f>AB52+AB53</f>
        <v>735</v>
      </c>
      <c r="AD55" s="150">
        <f>AD52+AD53</f>
        <v>2100</v>
      </c>
      <c r="AE55" s="150">
        <f>AE52+AE53</f>
        <v>735</v>
      </c>
      <c r="AG55" s="150">
        <f>AG52+AG53</f>
        <v>1932</v>
      </c>
      <c r="AH55" s="150">
        <f>AH52+AH53</f>
        <v>793.80000000000007</v>
      </c>
      <c r="AJ55" s="150">
        <f>AJ52+AJ53</f>
        <v>1932</v>
      </c>
      <c r="AK55" s="150">
        <f>AK52+AK53</f>
        <v>1323.0000000000002</v>
      </c>
      <c r="AM55" s="150">
        <f>AM52+AM53</f>
        <v>1932</v>
      </c>
      <c r="AN55" s="150">
        <f>AN52+AN53</f>
        <v>1323.0000000000002</v>
      </c>
    </row>
    <row r="57" spans="4:40" x14ac:dyDescent="0.2">
      <c r="AG57" s="326">
        <f>AG55/$AD$55 -1</f>
        <v>-7.999999999999996E-2</v>
      </c>
      <c r="AH57" s="326">
        <f>AH55/$AE$55 -1</f>
        <v>8.0000000000000071E-2</v>
      </c>
      <c r="AI57" s="326"/>
      <c r="AJ57" s="326">
        <f>AJ55/$AD$55 -1</f>
        <v>-7.999999999999996E-2</v>
      </c>
      <c r="AK57" s="326">
        <f>AK55/$AE$55 -1</f>
        <v>0.80000000000000027</v>
      </c>
      <c r="AM57" s="326">
        <f>AM55/$AD$55 -1</f>
        <v>-7.999999999999996E-2</v>
      </c>
      <c r="AN57" s="326">
        <f>AN55/$AE$55 -1</f>
        <v>0.80000000000000027</v>
      </c>
    </row>
    <row r="58" spans="4:40" x14ac:dyDescent="0.2">
      <c r="AG58" s="326"/>
      <c r="AH58" s="326"/>
      <c r="AI58" s="326"/>
      <c r="AJ58" s="326"/>
      <c r="AK58" s="326"/>
      <c r="AM58" s="326"/>
      <c r="AN58" s="326"/>
    </row>
    <row r="59" spans="4:40" x14ac:dyDescent="0.2">
      <c r="T59" s="150" t="s">
        <v>687</v>
      </c>
      <c r="U59" s="150">
        <v>5000</v>
      </c>
      <c r="V59" s="150">
        <v>5000</v>
      </c>
      <c r="W59" s="150">
        <v>5000</v>
      </c>
      <c r="X59" s="150">
        <v>5000</v>
      </c>
      <c r="Y59" s="150">
        <v>5000</v>
      </c>
      <c r="AA59" s="150">
        <f>V59</f>
        <v>5000</v>
      </c>
      <c r="AB59" s="150">
        <v>5000</v>
      </c>
      <c r="AD59" s="150">
        <f>Y59</f>
        <v>5000</v>
      </c>
      <c r="AE59" s="150">
        <v>5000</v>
      </c>
      <c r="AG59" s="150">
        <v>5000</v>
      </c>
      <c r="AH59" s="150">
        <v>5000</v>
      </c>
      <c r="AJ59" s="150">
        <v>5000</v>
      </c>
      <c r="AK59" s="150">
        <v>5000</v>
      </c>
      <c r="AM59" s="150">
        <v>5000</v>
      </c>
      <c r="AN59" s="150">
        <v>5000</v>
      </c>
    </row>
    <row r="60" spans="4:40" x14ac:dyDescent="0.2">
      <c r="T60" s="150" t="s">
        <v>688</v>
      </c>
      <c r="U60" s="150">
        <v>5000</v>
      </c>
      <c r="V60" s="150">
        <v>5000</v>
      </c>
      <c r="W60" s="150">
        <v>5000</v>
      </c>
      <c r="X60" s="150">
        <v>5000</v>
      </c>
      <c r="Y60" s="150">
        <v>5000</v>
      </c>
      <c r="AA60" s="150">
        <f>V60</f>
        <v>5000</v>
      </c>
      <c r="AB60" s="150">
        <f>AA60</f>
        <v>5000</v>
      </c>
      <c r="AD60" s="150">
        <f>Y60</f>
        <v>5000</v>
      </c>
      <c r="AE60" s="150">
        <f>AD60</f>
        <v>5000</v>
      </c>
      <c r="AG60" s="150">
        <f>AE60</f>
        <v>5000</v>
      </c>
      <c r="AH60" s="150">
        <f>AG60</f>
        <v>5000</v>
      </c>
      <c r="AJ60" s="150">
        <f>AH60</f>
        <v>5000</v>
      </c>
      <c r="AK60" s="150">
        <f>AJ60</f>
        <v>5000</v>
      </c>
      <c r="AM60" s="150">
        <f>AK60</f>
        <v>5000</v>
      </c>
      <c r="AN60" s="150">
        <f>AM60</f>
        <v>5000</v>
      </c>
    </row>
    <row r="61" spans="4:40" x14ac:dyDescent="0.2">
      <c r="T61" s="150" t="s">
        <v>689</v>
      </c>
      <c r="U61" s="150">
        <v>2500</v>
      </c>
      <c r="V61" s="150">
        <v>2500</v>
      </c>
      <c r="W61" s="150">
        <v>2500</v>
      </c>
      <c r="X61" s="150">
        <v>2500</v>
      </c>
      <c r="Y61" s="150">
        <v>2500</v>
      </c>
      <c r="AA61" s="150">
        <f>V61</f>
        <v>2500</v>
      </c>
      <c r="AB61" s="150">
        <f>AA61</f>
        <v>2500</v>
      </c>
      <c r="AD61" s="150">
        <f>Y61</f>
        <v>2500</v>
      </c>
      <c r="AE61" s="150">
        <f>AD61</f>
        <v>2500</v>
      </c>
      <c r="AG61" s="150">
        <f>AE61</f>
        <v>2500</v>
      </c>
      <c r="AH61" s="150">
        <f>AG61</f>
        <v>2500</v>
      </c>
      <c r="AJ61" s="150">
        <f>AH61</f>
        <v>2500</v>
      </c>
      <c r="AK61" s="150">
        <f>AJ61</f>
        <v>2500</v>
      </c>
      <c r="AM61" s="150">
        <f>AK61</f>
        <v>2500</v>
      </c>
      <c r="AN61" s="150">
        <f>AM61</f>
        <v>2500</v>
      </c>
    </row>
    <row r="63" spans="4:40" x14ac:dyDescent="0.2">
      <c r="T63" s="150" t="s">
        <v>694</v>
      </c>
      <c r="U63" s="233">
        <f>(U40*U$59+U42*U$60+U44*U$61)*$AE$24</f>
        <v>40310</v>
      </c>
      <c r="V63" s="239"/>
      <c r="W63" s="239"/>
      <c r="X63" s="239"/>
      <c r="Y63" s="239"/>
      <c r="Z63" s="239"/>
      <c r="AA63" s="233">
        <f>(AA40*AA$59+AA42*AA$60+AA44*AA$61)*$AB$24</f>
        <v>40310</v>
      </c>
      <c r="AB63" s="233">
        <f>(AB40*AB$59+AB42*AB$60+AB44*AB$61)*$AB$24</f>
        <v>7297.5</v>
      </c>
      <c r="AD63" s="233">
        <f>(AD40*AD$59+AD42*AD$60+AD44*AD$61)*$AE$24</f>
        <v>20850</v>
      </c>
      <c r="AE63" s="233">
        <f>(AE40*AE$59+AE42*AE$60+AE44*AE$61)*$AE$24</f>
        <v>7297.5</v>
      </c>
      <c r="AG63" s="233">
        <f>AG49*(AG40*AG$59+AG42*AG$60+AG44*AG$61)*$AE$24</f>
        <v>19182</v>
      </c>
      <c r="AH63" s="233">
        <f>AH49*(AH40*AH$59+AH42*AH$60+AH44*AH$61)*$AE$24</f>
        <v>7881.3</v>
      </c>
      <c r="AJ63" s="233">
        <f>AJ49*(AJ40*AJ$59+AJ42*AJ$60+AJ44*AJ$61)*$AE$24</f>
        <v>19182</v>
      </c>
      <c r="AK63" s="233">
        <f>AK49*(AK40*AK$59+AK42*AK$60+AK44*AK$61)*$AE$24</f>
        <v>13135.500000000002</v>
      </c>
      <c r="AM63" s="233">
        <f>AM49*(AM40*AM$59+AM42*AM$60+AM44*AM$61)*$AN$24</f>
        <v>23321.999999999996</v>
      </c>
      <c r="AN63" s="233">
        <f>AN49*(AN40*AN$59+AN42*AN$60+AN44*AN$61)*$AN$24</f>
        <v>15970.5</v>
      </c>
    </row>
    <row r="64" spans="4:40" x14ac:dyDescent="0.2">
      <c r="U64" s="233">
        <f>(U41*U$59+U43*U$60+U45*U$61)*$AE$24*U50</f>
        <v>11676</v>
      </c>
      <c r="V64" s="239"/>
      <c r="W64" s="239"/>
      <c r="X64" s="239"/>
      <c r="Y64" s="239"/>
      <c r="Z64" s="239"/>
      <c r="AA64" s="233">
        <f>(AA41*AA$59+AA43*AA$60+AA45*AA$61)*$AB$24*AA50</f>
        <v>11676</v>
      </c>
      <c r="AB64" s="233">
        <f>(AB41*AB$59+AB43*AB$60+AB45*AB$61)*$AB$24*AB50</f>
        <v>2919</v>
      </c>
      <c r="AD64" s="233">
        <f>(AD41*AD$59+AD43*AD$60+AD45*AD$61)*$AE$24*AD50</f>
        <v>8340</v>
      </c>
      <c r="AE64" s="233">
        <f>(AE41*AE$59+AE43*AE$60+AE45*AE$61)*$AE$24*AE50</f>
        <v>2919</v>
      </c>
      <c r="AG64" s="233">
        <f>AG50*(AG41*AG$59+AG43*AG$60+AG45*AG$61)*$AE$24*AG50</f>
        <v>2823.590400000001</v>
      </c>
      <c r="AH64" s="233">
        <f>(AH41*AH$59+AH43*AH$60+AH45*AH$61)*$AE$24*AH50</f>
        <v>3152.5200000000004</v>
      </c>
      <c r="AJ64" s="233">
        <f>AJ50*(AJ41*AJ$59+AJ43*AJ$60+AJ45*AJ$61)*$AE$24*AJ50</f>
        <v>2823.590400000001</v>
      </c>
      <c r="AK64" s="233">
        <f>AK50*(AK41*AK$59+AK43*AK$60+AK45*AK$61)*$AE$24*AK50</f>
        <v>2269.8144000000007</v>
      </c>
      <c r="AL64" s="233"/>
      <c r="AM64" s="233">
        <f>AM50*(AM41*AM$59+AM43*AM$60+AM45*AM$61)*$AN$24*AM50</f>
        <v>3432.9984000000009</v>
      </c>
      <c r="AN64" s="233">
        <f>AN50*(AN41*AN$59+AN43*AN$60+AN45*AN$61)*$AN$24*AN50</f>
        <v>2759.7024000000006</v>
      </c>
    </row>
    <row r="65" spans="21:40" x14ac:dyDescent="0.2">
      <c r="U65" s="239">
        <f>U63+U64</f>
        <v>51986</v>
      </c>
      <c r="V65" s="239"/>
      <c r="W65" s="239"/>
      <c r="X65" s="239"/>
      <c r="Y65" s="239"/>
      <c r="Z65" s="239"/>
      <c r="AA65" s="239">
        <f>AA63+AA64</f>
        <v>51986</v>
      </c>
      <c r="AB65" s="239">
        <f>AB63+AB64</f>
        <v>10216.5</v>
      </c>
      <c r="AD65" s="239">
        <f>AD63+AD64</f>
        <v>29190</v>
      </c>
      <c r="AE65" s="239">
        <f>AE63+AE64</f>
        <v>10216.5</v>
      </c>
      <c r="AG65" s="239">
        <f>AG63+AG64</f>
        <v>22005.590400000001</v>
      </c>
      <c r="AH65" s="239">
        <f>AH63+AH64</f>
        <v>11033.82</v>
      </c>
      <c r="AJ65" s="239">
        <f>AJ63+AJ64</f>
        <v>22005.590400000001</v>
      </c>
      <c r="AK65" s="239">
        <f>AK63+AK64</f>
        <v>15405.314400000003</v>
      </c>
      <c r="AM65" s="239">
        <f>AM63+AM64</f>
        <v>26754.998399999997</v>
      </c>
      <c r="AN65" s="239">
        <f>AN63+AN64</f>
        <v>18730.202400000002</v>
      </c>
    </row>
    <row r="67" spans="21:40" x14ac:dyDescent="0.2">
      <c r="AA67" s="173"/>
      <c r="AD67" s="173">
        <f>AD65/$AA65 -1</f>
        <v>-0.43850267379679142</v>
      </c>
      <c r="AE67" s="173">
        <f>AE65/$AB65 -1</f>
        <v>0</v>
      </c>
      <c r="AG67" s="173">
        <f>AG65/$AA65 -1</f>
        <v>-0.57670160427807482</v>
      </c>
      <c r="AH67" s="173">
        <f>AH65/$AB65 -1</f>
        <v>8.0000000000000071E-2</v>
      </c>
      <c r="AJ67" s="173">
        <f>AJ65/$AA65 -1</f>
        <v>-0.57670160427807482</v>
      </c>
      <c r="AK67" s="173">
        <f>AK65/$AB65 -1</f>
        <v>0.5078857142857145</v>
      </c>
      <c r="AM67" s="173">
        <f>AM65/$AA65 -1</f>
        <v>-0.48534223829492562</v>
      </c>
      <c r="AN67" s="173">
        <f>AN65/$AB65 -1</f>
        <v>0.83332867420349443</v>
      </c>
    </row>
    <row r="69" spans="21:40" x14ac:dyDescent="0.2">
      <c r="AM69" s="329">
        <f>(AM65/AJ65)-1</f>
        <v>0.21582733812949617</v>
      </c>
      <c r="AN69" s="329">
        <f>(AN65/AK65)-1</f>
        <v>0.21582733812949639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44"/>
  <sheetViews>
    <sheetView topLeftCell="D12" workbookViewId="0">
      <selection activeCell="F33" sqref="F33"/>
    </sheetView>
  </sheetViews>
  <sheetFormatPr baseColWidth="10" defaultRowHeight="16" x14ac:dyDescent="0.2"/>
  <sheetData>
    <row r="1" spans="4:20" x14ac:dyDescent="0.2">
      <c r="E1" s="178" t="s">
        <v>800</v>
      </c>
    </row>
    <row r="3" spans="4:20" ht="18" x14ac:dyDescent="0.2">
      <c r="D3" s="394"/>
      <c r="E3" s="395"/>
      <c r="F3" s="394"/>
      <c r="G3" s="178"/>
      <c r="H3" s="394"/>
      <c r="I3" s="396"/>
      <c r="J3" s="394"/>
      <c r="K3" s="178"/>
      <c r="N3">
        <v>2013</v>
      </c>
      <c r="O3">
        <v>2014</v>
      </c>
      <c r="P3">
        <v>2015</v>
      </c>
      <c r="Q3">
        <v>2016</v>
      </c>
      <c r="R3">
        <v>2017</v>
      </c>
      <c r="S3">
        <v>2018</v>
      </c>
    </row>
    <row r="4" spans="4:20" x14ac:dyDescent="0.2">
      <c r="D4" s="397" t="s">
        <v>786</v>
      </c>
      <c r="M4" s="405"/>
      <c r="N4" s="407">
        <v>2013</v>
      </c>
      <c r="O4" s="407">
        <v>2014</v>
      </c>
      <c r="P4" s="407">
        <v>2015</v>
      </c>
      <c r="Q4" s="407">
        <v>2016</v>
      </c>
      <c r="R4" s="407">
        <v>2017</v>
      </c>
      <c r="S4" s="407">
        <v>2018</v>
      </c>
      <c r="T4" s="400"/>
    </row>
    <row r="5" spans="4:20" x14ac:dyDescent="0.2">
      <c r="D5" s="171"/>
      <c r="M5" s="405"/>
      <c r="N5" s="407"/>
      <c r="O5" s="407"/>
      <c r="P5" s="407"/>
      <c r="Q5" s="407"/>
      <c r="R5" s="407"/>
      <c r="S5" s="407"/>
      <c r="T5" s="400"/>
    </row>
    <row r="6" spans="4:20" x14ac:dyDescent="0.2">
      <c r="D6" s="171"/>
      <c r="E6" s="398"/>
      <c r="F6" s="171"/>
      <c r="G6" s="178" t="s">
        <v>787</v>
      </c>
      <c r="H6" s="171"/>
      <c r="I6" s="398"/>
      <c r="J6" s="171"/>
      <c r="K6" s="178" t="s">
        <v>501</v>
      </c>
      <c r="L6" s="171"/>
      <c r="M6" s="405"/>
      <c r="N6" s="407"/>
      <c r="O6" s="407"/>
      <c r="P6" s="407"/>
      <c r="Q6" s="407"/>
      <c r="R6" s="407"/>
      <c r="S6" s="407"/>
      <c r="T6" s="400"/>
    </row>
    <row r="7" spans="4:20" x14ac:dyDescent="0.2">
      <c r="D7" s="171"/>
      <c r="E7" s="404" t="s">
        <v>801</v>
      </c>
      <c r="M7" s="405"/>
      <c r="N7" s="407"/>
      <c r="O7" s="407"/>
      <c r="P7" s="407"/>
      <c r="Q7" s="407"/>
      <c r="R7" s="407"/>
      <c r="S7" s="407"/>
      <c r="T7" s="400"/>
    </row>
    <row r="8" spans="4:20" x14ac:dyDescent="0.2">
      <c r="D8" s="406"/>
      <c r="E8" s="406"/>
      <c r="F8" s="406"/>
      <c r="G8" s="406"/>
      <c r="H8" s="406"/>
      <c r="I8" s="406"/>
      <c r="J8" s="406"/>
      <c r="K8" s="406"/>
      <c r="L8" s="406"/>
      <c r="M8" s="405"/>
      <c r="N8" s="407"/>
      <c r="O8" s="407"/>
      <c r="P8" s="407"/>
      <c r="Q8" s="407"/>
      <c r="R8" s="407"/>
      <c r="S8" s="407"/>
      <c r="T8" s="400"/>
    </row>
    <row r="9" spans="4:20" x14ac:dyDescent="0.2">
      <c r="D9" s="171"/>
      <c r="E9" s="399" t="s">
        <v>788</v>
      </c>
      <c r="M9" s="178"/>
      <c r="N9" s="401">
        <v>2415571</v>
      </c>
      <c r="O9" s="401">
        <v>2339392</v>
      </c>
      <c r="P9" s="401">
        <v>2301217</v>
      </c>
      <c r="Q9" s="401">
        <v>2172889</v>
      </c>
      <c r="R9" s="401">
        <v>2110829</v>
      </c>
      <c r="S9" s="402"/>
      <c r="T9" s="178"/>
    </row>
    <row r="10" spans="4:20" x14ac:dyDescent="0.2">
      <c r="D10" s="171"/>
      <c r="E10" s="403" t="s">
        <v>789</v>
      </c>
      <c r="M10" s="178"/>
      <c r="N10" s="402"/>
      <c r="O10" s="402"/>
      <c r="P10" s="402"/>
      <c r="Q10" s="402"/>
      <c r="R10" s="402"/>
      <c r="S10" s="402"/>
      <c r="T10" s="178"/>
    </row>
    <row r="11" spans="4:20" x14ac:dyDescent="0.2">
      <c r="D11" s="171"/>
      <c r="E11" s="403" t="s">
        <v>790</v>
      </c>
      <c r="M11" s="178"/>
      <c r="N11" s="401">
        <v>49846</v>
      </c>
      <c r="O11" s="401">
        <v>42989</v>
      </c>
      <c r="P11" s="401">
        <v>43838</v>
      </c>
      <c r="Q11" s="401">
        <v>40830</v>
      </c>
      <c r="R11" s="401">
        <v>41817</v>
      </c>
      <c r="S11" s="402"/>
      <c r="T11" s="178"/>
    </row>
    <row r="12" spans="4:20" x14ac:dyDescent="0.2">
      <c r="D12" s="171"/>
      <c r="E12" s="403" t="s">
        <v>791</v>
      </c>
      <c r="M12" s="178"/>
      <c r="N12" s="401">
        <v>2834</v>
      </c>
      <c r="O12" s="401">
        <v>2361</v>
      </c>
      <c r="P12" s="401">
        <v>1861</v>
      </c>
      <c r="Q12" s="401">
        <v>1545</v>
      </c>
      <c r="R12" s="401">
        <v>1400</v>
      </c>
      <c r="S12" s="402"/>
      <c r="T12" s="178"/>
    </row>
    <row r="13" spans="4:20" x14ac:dyDescent="0.2">
      <c r="D13" s="171"/>
      <c r="E13" s="403" t="s">
        <v>792</v>
      </c>
      <c r="M13" s="178"/>
      <c r="N13" s="401">
        <v>10471</v>
      </c>
      <c r="O13" s="401">
        <v>23208</v>
      </c>
      <c r="P13" s="401">
        <v>17295</v>
      </c>
      <c r="Q13" s="401">
        <v>22112</v>
      </c>
      <c r="R13" s="401">
        <v>19319</v>
      </c>
      <c r="S13" s="402"/>
      <c r="T13" s="178"/>
    </row>
    <row r="14" spans="4:20" x14ac:dyDescent="0.2">
      <c r="D14" s="171"/>
      <c r="E14" s="403" t="s">
        <v>793</v>
      </c>
      <c r="M14" s="178"/>
      <c r="N14" s="401">
        <v>2352421</v>
      </c>
      <c r="O14" s="401">
        <v>2270834</v>
      </c>
      <c r="P14" s="401">
        <v>2238223</v>
      </c>
      <c r="Q14" s="401">
        <v>2108402</v>
      </c>
      <c r="R14" s="401">
        <v>2048294</v>
      </c>
      <c r="S14" s="402" t="s">
        <v>794</v>
      </c>
      <c r="T14" s="178"/>
    </row>
    <row r="15" spans="4:20" x14ac:dyDescent="0.2">
      <c r="D15" s="171"/>
      <c r="E15" s="403" t="s">
        <v>795</v>
      </c>
      <c r="M15" s="178"/>
      <c r="N15" s="401">
        <v>481773</v>
      </c>
      <c r="O15" s="401">
        <v>397489</v>
      </c>
      <c r="P15" s="401">
        <v>401172</v>
      </c>
      <c r="Q15" s="401">
        <v>411828</v>
      </c>
      <c r="R15" s="401">
        <v>431005</v>
      </c>
      <c r="S15" s="402" t="s">
        <v>794</v>
      </c>
      <c r="T15" s="178"/>
    </row>
    <row r="16" spans="4:20" x14ac:dyDescent="0.2">
      <c r="D16" s="171"/>
      <c r="E16" s="403" t="s">
        <v>796</v>
      </c>
      <c r="M16" s="178"/>
      <c r="N16" s="401">
        <v>254845</v>
      </c>
      <c r="O16" s="401">
        <v>237675</v>
      </c>
      <c r="P16" s="401">
        <v>235791</v>
      </c>
      <c r="Q16" s="401">
        <v>236967</v>
      </c>
      <c r="R16" s="401">
        <v>237360</v>
      </c>
      <c r="S16" s="401">
        <v>248307</v>
      </c>
      <c r="T16" s="178"/>
    </row>
    <row r="17" spans="4:20" x14ac:dyDescent="0.2">
      <c r="D17" s="171"/>
      <c r="E17" s="403" t="s">
        <v>797</v>
      </c>
      <c r="M17" s="178"/>
      <c r="N17" s="401">
        <v>775969</v>
      </c>
      <c r="O17" s="401">
        <v>788817</v>
      </c>
      <c r="P17" s="401">
        <v>777102</v>
      </c>
      <c r="Q17" s="401">
        <v>774503</v>
      </c>
      <c r="R17" s="401">
        <v>760661</v>
      </c>
      <c r="S17" s="401">
        <v>761086</v>
      </c>
      <c r="T17" s="178"/>
    </row>
    <row r="18" spans="4:20" x14ac:dyDescent="0.2">
      <c r="D18" s="171"/>
      <c r="E18" s="403" t="s">
        <v>798</v>
      </c>
      <c r="M18" s="178"/>
      <c r="N18" s="401">
        <v>14121</v>
      </c>
      <c r="O18" s="401">
        <v>15331</v>
      </c>
      <c r="P18" s="401">
        <v>18225</v>
      </c>
      <c r="Q18" s="401">
        <v>19086</v>
      </c>
      <c r="R18" s="401">
        <v>22096</v>
      </c>
      <c r="S18" s="401">
        <v>19819</v>
      </c>
      <c r="T18" s="178"/>
    </row>
    <row r="19" spans="4:20" x14ac:dyDescent="0.2">
      <c r="D19" s="171"/>
      <c r="E19" s="403" t="s">
        <v>799</v>
      </c>
      <c r="M19" s="178"/>
      <c r="N19" s="401">
        <v>825713</v>
      </c>
      <c r="O19" s="401">
        <v>831522</v>
      </c>
      <c r="P19" s="401">
        <v>805933</v>
      </c>
      <c r="Q19" s="401">
        <v>666017</v>
      </c>
      <c r="R19" s="401">
        <v>597171</v>
      </c>
      <c r="S19" s="401">
        <v>629469</v>
      </c>
      <c r="T19" s="178"/>
    </row>
    <row r="22" spans="4:20" x14ac:dyDescent="0.2">
      <c r="N22" s="147">
        <f t="shared" ref="N22:Q22" si="0">N15/N$14</f>
        <v>0.20479880089490785</v>
      </c>
      <c r="O22" s="147">
        <f t="shared" si="0"/>
        <v>0.1750409761347593</v>
      </c>
      <c r="P22" s="147">
        <f t="shared" si="0"/>
        <v>0.17923683207616042</v>
      </c>
      <c r="Q22" s="147">
        <f t="shared" si="0"/>
        <v>0.19532707709440608</v>
      </c>
      <c r="R22" s="147">
        <f>R15/R$14</f>
        <v>0.21042145317029684</v>
      </c>
    </row>
    <row r="23" spans="4:20" x14ac:dyDescent="0.2">
      <c r="N23" s="147">
        <f t="shared" ref="N23:Q23" si="1">N16/N$14</f>
        <v>0.10833307473449692</v>
      </c>
      <c r="O23" s="147">
        <f t="shared" si="1"/>
        <v>0.10466418945638474</v>
      </c>
      <c r="P23" s="147">
        <f t="shared" si="1"/>
        <v>0.1053474117637072</v>
      </c>
      <c r="Q23" s="147">
        <f t="shared" si="1"/>
        <v>0.11239175451360793</v>
      </c>
      <c r="R23" s="147">
        <f>R16/R$14</f>
        <v>0.11588180212410913</v>
      </c>
      <c r="S23" s="147"/>
    </row>
    <row r="26" spans="4:20" x14ac:dyDescent="0.2">
      <c r="F26" t="s">
        <v>802</v>
      </c>
    </row>
    <row r="28" spans="4:20" x14ac:dyDescent="0.2">
      <c r="F28" t="s">
        <v>805</v>
      </c>
    </row>
    <row r="30" spans="4:20" x14ac:dyDescent="0.2">
      <c r="E30" t="s">
        <v>803</v>
      </c>
      <c r="F30">
        <v>24</v>
      </c>
      <c r="G30" s="133">
        <f>F30/F$38</f>
        <v>5.5944055944055944E-2</v>
      </c>
    </row>
    <row r="31" spans="4:20" x14ac:dyDescent="0.2">
      <c r="E31" t="s">
        <v>804</v>
      </c>
      <c r="F31">
        <v>14</v>
      </c>
      <c r="G31" s="133">
        <f>F31/F$38</f>
        <v>3.2634032634032632E-2</v>
      </c>
    </row>
    <row r="33" spans="4:7" x14ac:dyDescent="0.2">
      <c r="E33" t="s">
        <v>808</v>
      </c>
      <c r="F33">
        <f>F44</f>
        <v>43.7</v>
      </c>
      <c r="G33">
        <f>F33/F38</f>
        <v>0.10186480186480187</v>
      </c>
    </row>
    <row r="35" spans="4:7" x14ac:dyDescent="0.2">
      <c r="E35" t="s">
        <v>71</v>
      </c>
    </row>
    <row r="38" spans="4:7" x14ac:dyDescent="0.2">
      <c r="D38" t="s">
        <v>806</v>
      </c>
      <c r="E38" t="s">
        <v>807</v>
      </c>
      <c r="F38">
        <f>429</f>
        <v>429</v>
      </c>
    </row>
    <row r="41" spans="4:7" x14ac:dyDescent="0.2">
      <c r="D41" t="s">
        <v>809</v>
      </c>
      <c r="F41">
        <v>90000</v>
      </c>
      <c r="G41" t="s">
        <v>811</v>
      </c>
    </row>
    <row r="42" spans="4:7" x14ac:dyDescent="0.2">
      <c r="D42" t="s">
        <v>810</v>
      </c>
      <c r="F42">
        <v>100000</v>
      </c>
      <c r="G42" t="s">
        <v>811</v>
      </c>
    </row>
    <row r="43" spans="4:7" x14ac:dyDescent="0.2">
      <c r="F43">
        <f>F41+F42</f>
        <v>190000</v>
      </c>
      <c r="G43" t="s">
        <v>812</v>
      </c>
    </row>
    <row r="44" spans="4:7" x14ac:dyDescent="0.2">
      <c r="D44" t="s">
        <v>813</v>
      </c>
      <c r="E44">
        <f>0.23</f>
        <v>0.23</v>
      </c>
      <c r="F44">
        <f>E44*F43/1000</f>
        <v>43.7</v>
      </c>
    </row>
  </sheetData>
  <mergeCells count="8">
    <mergeCell ref="M4:M8"/>
    <mergeCell ref="D8:L8"/>
    <mergeCell ref="S4:S8"/>
    <mergeCell ref="R4:R8"/>
    <mergeCell ref="Q4:Q8"/>
    <mergeCell ref="P4:P8"/>
    <mergeCell ref="O4:O8"/>
    <mergeCell ref="N4:N8"/>
  </mergeCells>
  <hyperlinks>
    <hyperlink ref="G6" r:id="rId1"/>
    <hyperlink ref="K6" r:id="rId2"/>
    <hyperlink ref="M9" r:id="rId3" display="https://www.eia.gov/opendata/qb.php?sdid=NG.NA1490_SCA_2.A"/>
    <hyperlink ref="M10" r:id="rId4" display="https://www.eia.gov/opendata/qb.php?sdid=NG.NA1470_SCA_2.A"/>
    <hyperlink ref="M11" r:id="rId5" display="https://www.eia.gov/opendata/qb.php?sdid=NG.NA1840_SCA_2.A"/>
    <hyperlink ref="M12" r:id="rId6" display="https://www.eia.gov/opendata/qb.php?sdid=NG.NA1850_SCA_2.A"/>
    <hyperlink ref="M13" r:id="rId7" display="https://www.eia.gov/opendata/qb.php?sdid=NG.NA1480_SCA_2.A"/>
    <hyperlink ref="M14" r:id="rId8" display="https://www.eia.gov/opendata/qb.php?sdid=NG.N3060CA2.A"/>
    <hyperlink ref="M15" r:id="rId9" display="https://www.eia.gov/opendata/qb.php?sdid=NG.N3010CA2.A"/>
    <hyperlink ref="M16" r:id="rId10" display="https://www.eia.gov/opendata/qb.php?sdid=NG.N3020CA2.A"/>
    <hyperlink ref="M17" r:id="rId11" display="https://www.eia.gov/opendata/qb.php?sdid=NG.N3035CA2.A"/>
    <hyperlink ref="M18" r:id="rId12" display="https://www.eia.gov/opendata/qb.php?sdid=NG.NA1570_SCA_2.A"/>
    <hyperlink ref="M19" r:id="rId13" display="https://www.eia.gov/opendata/qb.php?sdid=NG.N3045CA2.A"/>
    <hyperlink ref="E1" r:id="rId14"/>
  </hyperlinks>
  <pageMargins left="0.7" right="0.7" top="0.75" bottom="0.75" header="0.3" footer="0.3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"/>
  <sheetViews>
    <sheetView topLeftCell="A9" workbookViewId="0">
      <selection activeCell="A69" sqref="A9:A69"/>
    </sheetView>
  </sheetViews>
  <sheetFormatPr baseColWidth="10" defaultRowHeight="16" x14ac:dyDescent="0.2"/>
  <sheetData>
    <row r="1" spans="1:37" x14ac:dyDescent="0.2">
      <c r="A1" s="242"/>
      <c r="B1" s="408" t="s">
        <v>340</v>
      </c>
      <c r="C1" s="409"/>
      <c r="D1" s="410"/>
      <c r="E1" s="415" t="s">
        <v>479</v>
      </c>
      <c r="F1" s="416"/>
      <c r="G1" s="416"/>
      <c r="H1" s="416"/>
      <c r="I1" s="416"/>
      <c r="J1" s="416"/>
      <c r="K1" s="417"/>
      <c r="L1" s="243"/>
      <c r="M1" s="244"/>
      <c r="N1" s="245"/>
      <c r="O1" s="247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</row>
    <row r="2" spans="1:37" ht="27" x14ac:dyDescent="0.2">
      <c r="A2" s="248" t="s">
        <v>480</v>
      </c>
      <c r="B2" s="249" t="s">
        <v>71</v>
      </c>
      <c r="C2" s="250" t="s">
        <v>481</v>
      </c>
      <c r="D2" s="250" t="s">
        <v>482</v>
      </c>
      <c r="E2" s="251" t="s">
        <v>71</v>
      </c>
      <c r="F2" s="250" t="s">
        <v>483</v>
      </c>
      <c r="G2" s="250" t="s">
        <v>484</v>
      </c>
      <c r="H2" s="250" t="s">
        <v>485</v>
      </c>
      <c r="I2" s="250" t="s">
        <v>486</v>
      </c>
      <c r="J2" s="250" t="s">
        <v>487</v>
      </c>
      <c r="K2" s="252" t="s">
        <v>488</v>
      </c>
      <c r="L2" s="253" t="s">
        <v>389</v>
      </c>
      <c r="M2" s="254" t="s">
        <v>489</v>
      </c>
      <c r="N2" s="255" t="s">
        <v>490</v>
      </c>
      <c r="O2" s="247"/>
      <c r="P2" s="250" t="s">
        <v>483</v>
      </c>
      <c r="Q2" s="250" t="s">
        <v>484</v>
      </c>
      <c r="R2" s="250" t="s">
        <v>485</v>
      </c>
      <c r="S2" s="250" t="s">
        <v>486</v>
      </c>
      <c r="T2" s="250" t="s">
        <v>487</v>
      </c>
      <c r="U2" s="252" t="s">
        <v>488</v>
      </c>
      <c r="V2" s="246"/>
      <c r="W2" s="246"/>
      <c r="X2" s="246"/>
      <c r="Y2" s="256" t="s">
        <v>19</v>
      </c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</row>
    <row r="3" spans="1:37" x14ac:dyDescent="0.2">
      <c r="A3" s="257" t="s">
        <v>491</v>
      </c>
      <c r="B3" s="258">
        <v>1627865</v>
      </c>
      <c r="C3" s="258">
        <v>1588787</v>
      </c>
      <c r="D3" s="258">
        <v>39078</v>
      </c>
      <c r="E3" s="258">
        <v>593662</v>
      </c>
      <c r="F3" s="258">
        <v>314135</v>
      </c>
      <c r="G3" s="258">
        <v>45852</v>
      </c>
      <c r="H3" s="258">
        <v>65714</v>
      </c>
      <c r="I3" s="258">
        <v>160106</v>
      </c>
      <c r="J3" s="258">
        <v>7855</v>
      </c>
      <c r="K3" s="258">
        <v>569029</v>
      </c>
      <c r="L3" s="259">
        <v>4.1000000000000002E-2</v>
      </c>
      <c r="M3" s="260">
        <v>2.79</v>
      </c>
      <c r="N3" s="261">
        <v>3</v>
      </c>
      <c r="O3" s="262"/>
      <c r="P3" s="312">
        <v>0.52910000000000001</v>
      </c>
      <c r="Q3" s="312">
        <v>7.7200000000000005E-2</v>
      </c>
      <c r="R3" s="312">
        <v>0.11070000000000001</v>
      </c>
      <c r="S3" s="312">
        <v>0.2697</v>
      </c>
      <c r="T3" s="312">
        <v>1.32E-2</v>
      </c>
      <c r="U3" s="262"/>
      <c r="V3" s="262"/>
      <c r="W3" s="264">
        <v>2.4E-2</v>
      </c>
      <c r="X3" s="262"/>
      <c r="Y3" s="256" t="s">
        <v>492</v>
      </c>
      <c r="Z3" s="264">
        <v>4.1000000000000002E-2</v>
      </c>
      <c r="AA3" s="264"/>
      <c r="AB3" s="265">
        <v>12</v>
      </c>
      <c r="AC3" s="140" t="s">
        <v>493</v>
      </c>
      <c r="AD3" s="140"/>
      <c r="AE3" s="266"/>
      <c r="AF3" s="262"/>
      <c r="AG3" s="262"/>
      <c r="AH3" s="262"/>
      <c r="AI3" s="262"/>
      <c r="AJ3" s="262"/>
      <c r="AK3" s="262"/>
    </row>
    <row r="4" spans="1:37" x14ac:dyDescent="0.2">
      <c r="A4" s="267" t="s">
        <v>494</v>
      </c>
      <c r="B4" s="258">
        <v>1166</v>
      </c>
      <c r="C4" s="258">
        <v>1142</v>
      </c>
      <c r="D4" s="258">
        <v>24</v>
      </c>
      <c r="E4" s="258">
        <v>1778</v>
      </c>
      <c r="F4" s="258">
        <v>1050</v>
      </c>
      <c r="G4" s="258">
        <v>18</v>
      </c>
      <c r="H4" s="258">
        <v>45</v>
      </c>
      <c r="I4" s="258">
        <v>631</v>
      </c>
      <c r="J4" s="258">
        <v>34</v>
      </c>
      <c r="K4" s="258">
        <v>493</v>
      </c>
      <c r="L4" s="259">
        <v>0.72299999999999998</v>
      </c>
      <c r="M4" s="260">
        <v>2.3199999999999998</v>
      </c>
      <c r="N4" s="261">
        <v>16</v>
      </c>
      <c r="O4" s="262"/>
      <c r="P4" s="263">
        <v>0.59060000000000001</v>
      </c>
      <c r="Q4" s="263">
        <v>1.01E-2</v>
      </c>
      <c r="R4" s="263">
        <v>2.53E-2</v>
      </c>
      <c r="S4" s="263">
        <v>0.35489999999999999</v>
      </c>
      <c r="T4" s="263">
        <v>1.9099999999999999E-2</v>
      </c>
      <c r="U4" s="262"/>
      <c r="V4" s="262"/>
      <c r="W4" s="264">
        <v>2.1000000000000001E-2</v>
      </c>
      <c r="X4" s="262"/>
      <c r="Y4" s="256">
        <v>16</v>
      </c>
      <c r="Z4" s="264">
        <v>0</v>
      </c>
      <c r="AA4" s="264"/>
      <c r="AB4" s="262">
        <v>16</v>
      </c>
      <c r="AC4" s="268" t="s">
        <v>495</v>
      </c>
      <c r="AD4" s="269" t="s">
        <v>496</v>
      </c>
      <c r="AE4" s="269" t="s">
        <v>497</v>
      </c>
      <c r="AF4" s="262"/>
      <c r="AG4" s="262"/>
      <c r="AH4" s="262"/>
      <c r="AI4" s="262"/>
      <c r="AJ4" s="262"/>
      <c r="AK4" s="262"/>
    </row>
    <row r="5" spans="1:37" x14ac:dyDescent="0.2">
      <c r="A5" s="257" t="s">
        <v>498</v>
      </c>
      <c r="B5" s="258">
        <v>37707</v>
      </c>
      <c r="C5" s="258">
        <v>34508</v>
      </c>
      <c r="D5" s="258">
        <v>3199</v>
      </c>
      <c r="E5" s="258">
        <v>18170</v>
      </c>
      <c r="F5" s="258">
        <v>14897</v>
      </c>
      <c r="G5" s="258">
        <v>559</v>
      </c>
      <c r="H5" s="258">
        <v>605</v>
      </c>
      <c r="I5" s="258">
        <v>690</v>
      </c>
      <c r="J5" s="258">
        <v>1419</v>
      </c>
      <c r="K5" s="258">
        <v>14349</v>
      </c>
      <c r="L5" s="259">
        <v>0.21</v>
      </c>
      <c r="M5" s="260">
        <v>2.4</v>
      </c>
      <c r="N5" s="261">
        <v>12</v>
      </c>
      <c r="O5" s="262"/>
      <c r="P5" s="263">
        <v>0.81989999999999996</v>
      </c>
      <c r="Q5" s="263">
        <v>3.0800000000000001E-2</v>
      </c>
      <c r="R5" s="263">
        <v>3.3300000000000003E-2</v>
      </c>
      <c r="S5" s="263">
        <v>3.7999999999999999E-2</v>
      </c>
      <c r="T5" s="263">
        <v>7.8100000000000003E-2</v>
      </c>
      <c r="U5" s="262"/>
      <c r="V5" s="262"/>
      <c r="W5" s="264">
        <v>8.5000000000000006E-2</v>
      </c>
      <c r="X5" s="262"/>
      <c r="Y5" s="256" t="s">
        <v>499</v>
      </c>
      <c r="Z5" s="264">
        <v>1E-3</v>
      </c>
      <c r="AA5" s="264">
        <v>0</v>
      </c>
      <c r="AB5" s="262">
        <v>16</v>
      </c>
      <c r="AC5" s="270">
        <v>1</v>
      </c>
      <c r="AD5" s="271">
        <v>182579</v>
      </c>
      <c r="AE5" s="272">
        <v>5.0000000000000001E-3</v>
      </c>
      <c r="AF5" s="262"/>
      <c r="AG5" s="264">
        <v>1.4E-2</v>
      </c>
      <c r="AH5" s="140" t="s">
        <v>500</v>
      </c>
      <c r="AI5" s="140" t="s">
        <v>4</v>
      </c>
      <c r="AJ5" s="140" t="s">
        <v>501</v>
      </c>
      <c r="AK5" s="140" t="s">
        <v>502</v>
      </c>
    </row>
    <row r="6" spans="1:37" x14ac:dyDescent="0.2">
      <c r="A6" s="273" t="s">
        <v>503</v>
      </c>
      <c r="B6" s="258">
        <v>224601</v>
      </c>
      <c r="C6" s="258">
        <v>219144</v>
      </c>
      <c r="D6" s="258">
        <v>5457</v>
      </c>
      <c r="E6" s="258">
        <v>98263</v>
      </c>
      <c r="F6" s="258">
        <v>61312</v>
      </c>
      <c r="G6" s="258">
        <v>3112</v>
      </c>
      <c r="H6" s="258">
        <v>8956</v>
      </c>
      <c r="I6" s="258">
        <v>10696</v>
      </c>
      <c r="J6" s="258">
        <v>14187</v>
      </c>
      <c r="K6" s="258">
        <v>88666</v>
      </c>
      <c r="L6" s="259">
        <v>9.8000000000000004E-2</v>
      </c>
      <c r="M6" s="260">
        <v>2.4700000000000002</v>
      </c>
      <c r="N6" s="261">
        <v>11</v>
      </c>
      <c r="O6" s="262"/>
      <c r="P6" s="263">
        <v>0.624</v>
      </c>
      <c r="Q6" s="263">
        <v>3.1699999999999999E-2</v>
      </c>
      <c r="R6" s="263">
        <v>9.11E-2</v>
      </c>
      <c r="S6" s="263">
        <v>0.1089</v>
      </c>
      <c r="T6" s="263">
        <v>0.1444</v>
      </c>
      <c r="U6" s="274"/>
      <c r="V6" s="274"/>
      <c r="W6" s="264">
        <v>2.4E-2</v>
      </c>
      <c r="X6" s="274"/>
      <c r="Y6" s="256" t="s">
        <v>504</v>
      </c>
      <c r="Z6" s="264">
        <v>6.0000000000000001E-3</v>
      </c>
      <c r="AA6" s="264">
        <v>3.0000000000000001E-3</v>
      </c>
      <c r="AB6" s="274"/>
      <c r="AC6" s="275">
        <v>2</v>
      </c>
      <c r="AD6" s="276">
        <v>930704</v>
      </c>
      <c r="AE6" s="272">
        <v>2.5000000000000001E-2</v>
      </c>
      <c r="AF6" s="274"/>
      <c r="AG6" s="277">
        <v>2.1000000000000001E-2</v>
      </c>
      <c r="AH6" s="140" t="s">
        <v>505</v>
      </c>
      <c r="AI6" s="140">
        <v>12</v>
      </c>
      <c r="AJ6" s="140">
        <v>1677185274</v>
      </c>
      <c r="AK6" s="278">
        <v>0.54459999999999997</v>
      </c>
    </row>
    <row r="7" spans="1:37" x14ac:dyDescent="0.2">
      <c r="A7" s="257" t="s">
        <v>506</v>
      </c>
      <c r="B7" s="258">
        <v>45207</v>
      </c>
      <c r="C7" s="258">
        <v>44708</v>
      </c>
      <c r="D7" s="258">
        <v>499</v>
      </c>
      <c r="E7" s="258">
        <v>27752</v>
      </c>
      <c r="F7" s="258">
        <v>24138</v>
      </c>
      <c r="G7" s="258">
        <v>366</v>
      </c>
      <c r="H7" s="258">
        <v>670</v>
      </c>
      <c r="I7" s="258">
        <v>392</v>
      </c>
      <c r="J7" s="258">
        <v>2186</v>
      </c>
      <c r="K7" s="258">
        <v>18906</v>
      </c>
      <c r="L7" s="259">
        <v>0.31900000000000001</v>
      </c>
      <c r="M7" s="260">
        <v>2.36</v>
      </c>
      <c r="N7" s="261">
        <v>12</v>
      </c>
      <c r="O7" s="262"/>
      <c r="P7" s="263">
        <v>0.86980000000000002</v>
      </c>
      <c r="Q7" s="263">
        <v>1.32E-2</v>
      </c>
      <c r="R7" s="263">
        <v>2.41E-2</v>
      </c>
      <c r="S7" s="263">
        <v>1.41E-2</v>
      </c>
      <c r="T7" s="263">
        <v>7.8799999999999995E-2</v>
      </c>
      <c r="U7" s="262"/>
      <c r="V7" s="262"/>
      <c r="W7" s="264">
        <v>1.0999999999999999E-2</v>
      </c>
      <c r="X7" s="262"/>
      <c r="Y7" s="256" t="s">
        <v>499</v>
      </c>
      <c r="Z7" s="264">
        <v>1E-3</v>
      </c>
      <c r="AA7" s="264">
        <v>0</v>
      </c>
      <c r="AB7" s="262">
        <v>1</v>
      </c>
      <c r="AC7" s="270">
        <v>3</v>
      </c>
      <c r="AD7" s="271">
        <v>3832373</v>
      </c>
      <c r="AE7" s="272">
        <v>0.10299999999999999</v>
      </c>
      <c r="AF7" s="262"/>
      <c r="AG7" s="264">
        <v>8.7999999999999995E-2</v>
      </c>
      <c r="AH7" s="140" t="s">
        <v>505</v>
      </c>
      <c r="AI7" s="140">
        <v>3</v>
      </c>
      <c r="AJ7" s="140">
        <v>1401449711</v>
      </c>
      <c r="AK7" s="278">
        <v>0.4551</v>
      </c>
    </row>
    <row r="8" spans="1:37" x14ac:dyDescent="0.2">
      <c r="A8" s="257" t="s">
        <v>507</v>
      </c>
      <c r="B8" s="258">
        <v>21948</v>
      </c>
      <c r="C8" s="258">
        <v>21688</v>
      </c>
      <c r="D8" s="258">
        <v>260</v>
      </c>
      <c r="E8" s="258">
        <v>8110</v>
      </c>
      <c r="F8" s="258">
        <v>5996</v>
      </c>
      <c r="G8" s="258">
        <v>119</v>
      </c>
      <c r="H8" s="258">
        <v>735</v>
      </c>
      <c r="I8" s="258">
        <v>477</v>
      </c>
      <c r="J8" s="258">
        <v>783</v>
      </c>
      <c r="K8" s="258">
        <v>7263</v>
      </c>
      <c r="L8" s="259">
        <v>0.104</v>
      </c>
      <c r="M8" s="260">
        <v>2.99</v>
      </c>
      <c r="N8" s="261">
        <v>11</v>
      </c>
      <c r="O8" s="262"/>
      <c r="P8" s="263">
        <v>0.73929999999999996</v>
      </c>
      <c r="Q8" s="263">
        <v>1.47E-2</v>
      </c>
      <c r="R8" s="263">
        <v>9.06E-2</v>
      </c>
      <c r="S8" s="263">
        <v>5.8799999999999998E-2</v>
      </c>
      <c r="T8" s="263">
        <v>9.6500000000000002E-2</v>
      </c>
      <c r="U8" s="262"/>
      <c r="V8" s="262"/>
      <c r="W8" s="264">
        <v>1.2E-2</v>
      </c>
      <c r="X8" s="262"/>
      <c r="Y8" s="256">
        <v>11</v>
      </c>
      <c r="Z8" s="264">
        <v>1E-3</v>
      </c>
      <c r="AA8" s="264"/>
      <c r="AB8" s="262">
        <v>11</v>
      </c>
      <c r="AC8" s="275">
        <v>4</v>
      </c>
      <c r="AD8" s="276">
        <v>1985365</v>
      </c>
      <c r="AE8" s="272">
        <v>5.2999999999999999E-2</v>
      </c>
      <c r="AF8" s="262"/>
      <c r="AG8" s="277">
        <v>5.0999999999999997E-2</v>
      </c>
      <c r="AH8" s="140" t="s">
        <v>505</v>
      </c>
      <c r="AI8" s="140">
        <v>4</v>
      </c>
      <c r="AJ8" s="140">
        <v>1004137</v>
      </c>
      <c r="AK8" s="278">
        <v>2.9999999999999997E-4</v>
      </c>
    </row>
    <row r="9" spans="1:37" x14ac:dyDescent="0.2">
      <c r="A9" s="257" t="s">
        <v>508</v>
      </c>
      <c r="B9" s="258">
        <v>1123429</v>
      </c>
      <c r="C9" s="258">
        <v>1112809</v>
      </c>
      <c r="D9" s="258">
        <v>10620</v>
      </c>
      <c r="E9" s="258">
        <v>409783</v>
      </c>
      <c r="F9" s="258">
        <v>273150</v>
      </c>
      <c r="G9" s="258">
        <v>31781</v>
      </c>
      <c r="H9" s="258">
        <v>28603</v>
      </c>
      <c r="I9" s="258">
        <v>68980</v>
      </c>
      <c r="J9" s="258">
        <v>7269</v>
      </c>
      <c r="K9" s="258">
        <v>392848</v>
      </c>
      <c r="L9" s="259">
        <v>4.1000000000000002E-2</v>
      </c>
      <c r="M9" s="260">
        <v>2.83</v>
      </c>
      <c r="N9" s="261">
        <v>3</v>
      </c>
      <c r="O9" s="262"/>
      <c r="P9" s="263">
        <v>0.66659999999999997</v>
      </c>
      <c r="Q9" s="263">
        <v>7.7600000000000002E-2</v>
      </c>
      <c r="R9" s="263">
        <v>6.9800000000000001E-2</v>
      </c>
      <c r="S9" s="263">
        <v>0.16830000000000001</v>
      </c>
      <c r="T9" s="263">
        <v>1.77E-2</v>
      </c>
      <c r="U9" s="262"/>
      <c r="V9" s="262"/>
      <c r="W9" s="264">
        <v>8.9999999999999993E-3</v>
      </c>
      <c r="X9" s="262"/>
      <c r="Y9" s="256" t="s">
        <v>509</v>
      </c>
      <c r="Z9" s="264">
        <v>2.9000000000000001E-2</v>
      </c>
      <c r="AA9" s="264"/>
      <c r="AB9" s="262">
        <v>3</v>
      </c>
      <c r="AC9" s="270">
        <v>5</v>
      </c>
      <c r="AD9" s="271">
        <v>419030</v>
      </c>
      <c r="AE9" s="272">
        <v>1.0999999999999999E-2</v>
      </c>
      <c r="AF9" s="262"/>
      <c r="AG9" s="277">
        <v>1.7999999999999999E-2</v>
      </c>
      <c r="AH9" s="140" t="s">
        <v>510</v>
      </c>
      <c r="AI9" s="140">
        <v>16</v>
      </c>
      <c r="AJ9" s="140">
        <v>3156004647</v>
      </c>
      <c r="AK9" s="278">
        <v>1</v>
      </c>
    </row>
    <row r="10" spans="1:37" x14ac:dyDescent="0.2">
      <c r="A10" s="257" t="s">
        <v>511</v>
      </c>
      <c r="B10" s="258">
        <v>26811</v>
      </c>
      <c r="C10" s="258">
        <v>23947</v>
      </c>
      <c r="D10" s="258">
        <v>2864</v>
      </c>
      <c r="E10" s="258">
        <v>11268</v>
      </c>
      <c r="F10" s="258">
        <v>6847</v>
      </c>
      <c r="G10" s="258">
        <v>273</v>
      </c>
      <c r="H10" s="258">
        <v>823</v>
      </c>
      <c r="I10" s="258">
        <v>797</v>
      </c>
      <c r="J10" s="258">
        <v>2528</v>
      </c>
      <c r="K10" s="258">
        <v>9744</v>
      </c>
      <c r="L10" s="259">
        <v>0.13500000000000001</v>
      </c>
      <c r="M10" s="260">
        <v>2.46</v>
      </c>
      <c r="N10" s="261">
        <v>1</v>
      </c>
      <c r="O10" s="262"/>
      <c r="P10" s="263">
        <v>0.60760000000000003</v>
      </c>
      <c r="Q10" s="263">
        <v>2.4199999999999999E-2</v>
      </c>
      <c r="R10" s="263">
        <v>7.2999999999999995E-2</v>
      </c>
      <c r="S10" s="263">
        <v>7.0699999999999999E-2</v>
      </c>
      <c r="T10" s="263">
        <v>0.22439999999999999</v>
      </c>
      <c r="U10" s="262"/>
      <c r="V10" s="262"/>
      <c r="W10" s="264">
        <v>0.107</v>
      </c>
      <c r="X10" s="262"/>
      <c r="Y10" s="256" t="s">
        <v>512</v>
      </c>
      <c r="Z10" s="264">
        <v>1E-3</v>
      </c>
      <c r="AA10" s="264">
        <v>1E-3</v>
      </c>
      <c r="AB10" s="262">
        <v>16</v>
      </c>
      <c r="AC10" s="275">
        <v>6</v>
      </c>
      <c r="AD10" s="276">
        <v>2848988</v>
      </c>
      <c r="AE10" s="272">
        <v>7.6999999999999999E-2</v>
      </c>
      <c r="AF10" s="262"/>
      <c r="AG10" s="264">
        <v>0</v>
      </c>
      <c r="AH10" s="140" t="s">
        <v>513</v>
      </c>
      <c r="AI10" s="140">
        <v>12</v>
      </c>
      <c r="AJ10" s="140">
        <v>1694388368</v>
      </c>
      <c r="AK10" s="278">
        <v>0.66120000000000001</v>
      </c>
    </row>
    <row r="11" spans="1:37" x14ac:dyDescent="0.2">
      <c r="A11" s="257" t="s">
        <v>514</v>
      </c>
      <c r="B11" s="258">
        <v>183750</v>
      </c>
      <c r="C11" s="258">
        <v>182073</v>
      </c>
      <c r="D11" s="258">
        <v>1677</v>
      </c>
      <c r="E11" s="258">
        <v>89675</v>
      </c>
      <c r="F11" s="258">
        <v>73598</v>
      </c>
      <c r="G11" s="258">
        <v>1390</v>
      </c>
      <c r="H11" s="258">
        <v>4871</v>
      </c>
      <c r="I11" s="258">
        <v>5730</v>
      </c>
      <c r="J11" s="258">
        <v>4086</v>
      </c>
      <c r="K11" s="258">
        <v>69637</v>
      </c>
      <c r="L11" s="259">
        <v>0.223</v>
      </c>
      <c r="M11" s="260">
        <v>2.61</v>
      </c>
      <c r="N11" s="261">
        <v>12</v>
      </c>
      <c r="O11" s="262"/>
      <c r="P11" s="263">
        <v>0.82069999999999999</v>
      </c>
      <c r="Q11" s="263">
        <v>1.55E-2</v>
      </c>
      <c r="R11" s="263">
        <v>5.4300000000000001E-2</v>
      </c>
      <c r="S11" s="263">
        <v>6.3899999999999998E-2</v>
      </c>
      <c r="T11" s="263">
        <v>4.5600000000000002E-2</v>
      </c>
      <c r="U11" s="262"/>
      <c r="V11" s="262"/>
      <c r="W11" s="264">
        <v>8.9999999999999993E-3</v>
      </c>
      <c r="X11" s="262"/>
      <c r="Y11" s="256" t="s">
        <v>499</v>
      </c>
      <c r="Z11" s="264">
        <v>5.0000000000000001E-3</v>
      </c>
      <c r="AA11" s="264">
        <v>3.0000000000000001E-3</v>
      </c>
      <c r="AB11" s="262">
        <v>16</v>
      </c>
      <c r="AC11" s="270">
        <v>7</v>
      </c>
      <c r="AD11" s="271">
        <v>2161364</v>
      </c>
      <c r="AE11" s="272">
        <v>5.8000000000000003E-2</v>
      </c>
      <c r="AF11" s="262"/>
      <c r="AG11" s="264">
        <v>0</v>
      </c>
      <c r="AH11" s="140" t="s">
        <v>513</v>
      </c>
      <c r="AI11" s="140">
        <v>16</v>
      </c>
      <c r="AJ11" s="140">
        <v>868138731</v>
      </c>
      <c r="AK11" s="278">
        <v>0.33879999999999999</v>
      </c>
    </row>
    <row r="12" spans="1:37" x14ac:dyDescent="0.2">
      <c r="A12" s="257" t="s">
        <v>515</v>
      </c>
      <c r="B12" s="258">
        <v>984541</v>
      </c>
      <c r="C12" s="258">
        <v>967164</v>
      </c>
      <c r="D12" s="258">
        <v>17377</v>
      </c>
      <c r="E12" s="258">
        <v>327579</v>
      </c>
      <c r="F12" s="258">
        <v>221088</v>
      </c>
      <c r="G12" s="258">
        <v>7464</v>
      </c>
      <c r="H12" s="258">
        <v>33522</v>
      </c>
      <c r="I12" s="258">
        <v>50625</v>
      </c>
      <c r="J12" s="258">
        <v>14880</v>
      </c>
      <c r="K12" s="258">
        <v>302936</v>
      </c>
      <c r="L12" s="259">
        <v>7.4999999999999997E-2</v>
      </c>
      <c r="M12" s="260">
        <v>3.19</v>
      </c>
      <c r="N12" s="261">
        <v>13</v>
      </c>
      <c r="O12" s="262"/>
      <c r="P12" s="263">
        <v>0.67490000000000006</v>
      </c>
      <c r="Q12" s="263">
        <v>2.2800000000000001E-2</v>
      </c>
      <c r="R12" s="263">
        <v>0.1023</v>
      </c>
      <c r="S12" s="263">
        <v>0.1545</v>
      </c>
      <c r="T12" s="263">
        <v>4.5400000000000003E-2</v>
      </c>
      <c r="U12" s="262"/>
      <c r="V12" s="262"/>
      <c r="W12" s="264">
        <v>1.7999999999999999E-2</v>
      </c>
      <c r="X12" s="262"/>
      <c r="Y12" s="256" t="s">
        <v>516</v>
      </c>
      <c r="Z12" s="264">
        <v>2.5000000000000001E-2</v>
      </c>
      <c r="AA12" s="264">
        <v>8.0000000000000002E-3</v>
      </c>
      <c r="AB12" s="262">
        <v>13</v>
      </c>
      <c r="AC12" s="275">
        <v>8</v>
      </c>
      <c r="AD12" s="276">
        <v>4620956</v>
      </c>
      <c r="AE12" s="272">
        <v>0.124</v>
      </c>
      <c r="AF12" s="262"/>
      <c r="AG12" s="264">
        <v>0</v>
      </c>
      <c r="AH12" s="140" t="s">
        <v>517</v>
      </c>
      <c r="AI12" s="140">
        <v>11</v>
      </c>
      <c r="AJ12" s="140">
        <v>5420321178</v>
      </c>
      <c r="AK12" s="278">
        <v>0.73850000000000005</v>
      </c>
    </row>
    <row r="13" spans="1:37" x14ac:dyDescent="0.2">
      <c r="A13" s="257" t="s">
        <v>518</v>
      </c>
      <c r="B13" s="258">
        <v>28668</v>
      </c>
      <c r="C13" s="258">
        <v>28364</v>
      </c>
      <c r="D13" s="258">
        <v>304</v>
      </c>
      <c r="E13" s="258">
        <v>11079</v>
      </c>
      <c r="F13" s="258">
        <v>7872</v>
      </c>
      <c r="G13" s="258">
        <v>213</v>
      </c>
      <c r="H13" s="258">
        <v>826</v>
      </c>
      <c r="I13" s="258">
        <v>767</v>
      </c>
      <c r="J13" s="258">
        <v>1401</v>
      </c>
      <c r="K13" s="258">
        <v>10019</v>
      </c>
      <c r="L13" s="259">
        <v>9.6000000000000002E-2</v>
      </c>
      <c r="M13" s="260">
        <v>2.83</v>
      </c>
      <c r="N13" s="261">
        <v>1</v>
      </c>
      <c r="O13" s="262"/>
      <c r="P13" s="263">
        <v>0.71050000000000002</v>
      </c>
      <c r="Q13" s="263">
        <v>1.9199999999999998E-2</v>
      </c>
      <c r="R13" s="263">
        <v>7.46E-2</v>
      </c>
      <c r="S13" s="263">
        <v>6.9199999999999998E-2</v>
      </c>
      <c r="T13" s="263">
        <v>0.1265</v>
      </c>
      <c r="U13" s="262"/>
      <c r="V13" s="262"/>
      <c r="W13" s="264">
        <v>1.0999999999999999E-2</v>
      </c>
      <c r="X13" s="262"/>
      <c r="Y13" s="256" t="s">
        <v>504</v>
      </c>
      <c r="Z13" s="264">
        <v>1E-3</v>
      </c>
      <c r="AA13" s="264">
        <v>0</v>
      </c>
      <c r="AB13" s="262">
        <v>11</v>
      </c>
      <c r="AC13" s="270">
        <v>9</v>
      </c>
      <c r="AD13" s="271">
        <v>5910720</v>
      </c>
      <c r="AE13" s="272">
        <v>0.159</v>
      </c>
      <c r="AF13" s="262"/>
      <c r="AG13" s="264">
        <v>0</v>
      </c>
      <c r="AH13" s="140" t="s">
        <v>517</v>
      </c>
      <c r="AI13" s="140">
        <v>16</v>
      </c>
      <c r="AJ13" s="140">
        <v>1919711439</v>
      </c>
      <c r="AK13" s="278">
        <v>0.26150000000000001</v>
      </c>
    </row>
    <row r="14" spans="1:37" x14ac:dyDescent="0.2">
      <c r="A14" s="257" t="s">
        <v>519</v>
      </c>
      <c r="B14" s="258">
        <v>135116</v>
      </c>
      <c r="C14" s="258">
        <v>129574</v>
      </c>
      <c r="D14" s="258">
        <v>5542</v>
      </c>
      <c r="E14" s="258">
        <v>62502</v>
      </c>
      <c r="F14" s="258">
        <v>42405</v>
      </c>
      <c r="G14" s="258">
        <v>2085</v>
      </c>
      <c r="H14" s="258">
        <v>6207</v>
      </c>
      <c r="I14" s="258">
        <v>5680</v>
      </c>
      <c r="J14" s="258">
        <v>6125</v>
      </c>
      <c r="K14" s="258">
        <v>55986</v>
      </c>
      <c r="L14" s="259">
        <v>0.104</v>
      </c>
      <c r="M14" s="260">
        <v>2.31</v>
      </c>
      <c r="N14" s="261">
        <v>1</v>
      </c>
      <c r="O14" s="262"/>
      <c r="P14" s="263">
        <v>0.67849999999999999</v>
      </c>
      <c r="Q14" s="263">
        <v>3.3399999999999999E-2</v>
      </c>
      <c r="R14" s="263">
        <v>9.9299999999999999E-2</v>
      </c>
      <c r="S14" s="263">
        <v>9.0899999999999995E-2</v>
      </c>
      <c r="T14" s="263">
        <v>9.8000000000000004E-2</v>
      </c>
      <c r="U14" s="262"/>
      <c r="V14" s="262"/>
      <c r="W14" s="264">
        <v>4.1000000000000002E-2</v>
      </c>
      <c r="X14" s="262"/>
      <c r="Y14" s="256" t="s">
        <v>520</v>
      </c>
      <c r="Z14" s="264">
        <v>3.0000000000000001E-3</v>
      </c>
      <c r="AA14" s="264"/>
      <c r="AB14" s="262"/>
      <c r="AC14" s="275">
        <v>10</v>
      </c>
      <c r="AD14" s="276">
        <v>4008503</v>
      </c>
      <c r="AE14" s="272">
        <v>0.108</v>
      </c>
      <c r="AF14" s="262"/>
      <c r="AG14" s="264">
        <v>0.14399999999999999</v>
      </c>
      <c r="AH14" s="140" t="s">
        <v>521</v>
      </c>
      <c r="AI14" s="140">
        <v>12</v>
      </c>
      <c r="AJ14" s="140">
        <v>3445246562</v>
      </c>
      <c r="AK14" s="278">
        <v>0.79090000000000005</v>
      </c>
    </row>
    <row r="15" spans="1:37" x14ac:dyDescent="0.2">
      <c r="A15" s="257" t="s">
        <v>522</v>
      </c>
      <c r="B15" s="258">
        <v>185831</v>
      </c>
      <c r="C15" s="258">
        <v>177088</v>
      </c>
      <c r="D15" s="258">
        <v>8743</v>
      </c>
      <c r="E15" s="258">
        <v>57174</v>
      </c>
      <c r="F15" s="258">
        <v>35411</v>
      </c>
      <c r="G15" s="258">
        <v>1907</v>
      </c>
      <c r="H15" s="258">
        <v>4782</v>
      </c>
      <c r="I15" s="258">
        <v>7415</v>
      </c>
      <c r="J15" s="258">
        <v>7659</v>
      </c>
      <c r="K15" s="258">
        <v>49811</v>
      </c>
      <c r="L15" s="259">
        <v>0.129</v>
      </c>
      <c r="M15" s="260">
        <v>3.56</v>
      </c>
      <c r="N15" s="261">
        <v>15</v>
      </c>
      <c r="O15" s="262"/>
      <c r="P15" s="263">
        <v>0.61939999999999995</v>
      </c>
      <c r="Q15" s="263">
        <v>3.3399999999999999E-2</v>
      </c>
      <c r="R15" s="263">
        <v>8.3599999999999994E-2</v>
      </c>
      <c r="S15" s="263">
        <v>0.12970000000000001</v>
      </c>
      <c r="T15" s="263">
        <v>0.13400000000000001</v>
      </c>
      <c r="U15" s="262"/>
      <c r="V15" s="262"/>
      <c r="W15" s="264">
        <v>4.7E-2</v>
      </c>
      <c r="X15" s="262"/>
      <c r="Y15" s="256">
        <v>15</v>
      </c>
      <c r="Z15" s="264">
        <v>5.0000000000000001E-3</v>
      </c>
      <c r="AA15" s="264"/>
      <c r="AB15" s="262">
        <v>15</v>
      </c>
      <c r="AC15" s="270">
        <v>11</v>
      </c>
      <c r="AD15" s="271">
        <v>1058094</v>
      </c>
      <c r="AE15" s="272">
        <v>2.8000000000000001E-2</v>
      </c>
      <c r="AF15" s="262"/>
      <c r="AG15" s="264">
        <v>1.2999999999999999E-2</v>
      </c>
      <c r="AH15" s="140" t="s">
        <v>521</v>
      </c>
      <c r="AI15" s="140">
        <v>16</v>
      </c>
      <c r="AJ15" s="140">
        <v>910965356</v>
      </c>
      <c r="AK15" s="278">
        <v>0.20910000000000001</v>
      </c>
    </row>
    <row r="16" spans="1:37" x14ac:dyDescent="0.2">
      <c r="A16" s="257" t="s">
        <v>523</v>
      </c>
      <c r="B16" s="258">
        <v>18650</v>
      </c>
      <c r="C16" s="258">
        <v>18224</v>
      </c>
      <c r="D16" s="258">
        <v>426</v>
      </c>
      <c r="E16" s="258">
        <v>9502</v>
      </c>
      <c r="F16" s="258">
        <v>5633</v>
      </c>
      <c r="G16" s="258">
        <v>216</v>
      </c>
      <c r="H16" s="258">
        <v>596</v>
      </c>
      <c r="I16" s="258">
        <v>479</v>
      </c>
      <c r="J16" s="258">
        <v>2578</v>
      </c>
      <c r="K16" s="258">
        <v>8010</v>
      </c>
      <c r="L16" s="259">
        <v>0.157</v>
      </c>
      <c r="M16" s="260">
        <v>2.2799999999999998</v>
      </c>
      <c r="N16" s="261">
        <v>16</v>
      </c>
      <c r="O16" s="262"/>
      <c r="P16" s="263">
        <v>0.59279999999999999</v>
      </c>
      <c r="Q16" s="263">
        <v>2.2700000000000001E-2</v>
      </c>
      <c r="R16" s="263">
        <v>6.2700000000000006E-2</v>
      </c>
      <c r="S16" s="263">
        <v>5.04E-2</v>
      </c>
      <c r="T16" s="263">
        <v>0.27129999999999999</v>
      </c>
      <c r="U16" s="262"/>
      <c r="V16" s="262"/>
      <c r="W16" s="264">
        <v>2.3E-2</v>
      </c>
      <c r="X16" s="262"/>
      <c r="Y16" s="256">
        <v>16</v>
      </c>
      <c r="Z16" s="264">
        <v>0</v>
      </c>
      <c r="AA16" s="264">
        <v>0</v>
      </c>
      <c r="AB16" s="262">
        <v>16</v>
      </c>
      <c r="AC16" s="275">
        <v>12</v>
      </c>
      <c r="AD16" s="276">
        <v>4702845</v>
      </c>
      <c r="AE16" s="272">
        <v>0.126</v>
      </c>
      <c r="AF16" s="262">
        <v>12</v>
      </c>
      <c r="AG16" s="277">
        <v>0.129</v>
      </c>
      <c r="AH16" s="140" t="s">
        <v>524</v>
      </c>
      <c r="AI16" s="140">
        <v>11</v>
      </c>
      <c r="AJ16" s="140">
        <v>4989134855</v>
      </c>
      <c r="AK16" s="278">
        <v>0.99970000000000003</v>
      </c>
    </row>
    <row r="17" spans="1:37" x14ac:dyDescent="0.2">
      <c r="A17" s="257" t="s">
        <v>525</v>
      </c>
      <c r="B17" s="258">
        <v>886507</v>
      </c>
      <c r="C17" s="258">
        <v>854430</v>
      </c>
      <c r="D17" s="258">
        <v>32077</v>
      </c>
      <c r="E17" s="258">
        <v>294401</v>
      </c>
      <c r="F17" s="258">
        <v>209331</v>
      </c>
      <c r="G17" s="258">
        <v>7350</v>
      </c>
      <c r="H17" s="258">
        <v>29242</v>
      </c>
      <c r="I17" s="258">
        <v>25449</v>
      </c>
      <c r="J17" s="258">
        <v>23029</v>
      </c>
      <c r="K17" s="258">
        <v>264953</v>
      </c>
      <c r="L17" s="259">
        <v>0.1</v>
      </c>
      <c r="M17" s="260">
        <v>3.22</v>
      </c>
      <c r="N17" s="261">
        <v>16</v>
      </c>
      <c r="O17" s="262"/>
      <c r="P17" s="263">
        <v>0.71099999999999997</v>
      </c>
      <c r="Q17" s="263">
        <v>2.5000000000000001E-2</v>
      </c>
      <c r="R17" s="263">
        <v>9.9299999999999999E-2</v>
      </c>
      <c r="S17" s="263">
        <v>8.6400000000000005E-2</v>
      </c>
      <c r="T17" s="263">
        <v>7.8200000000000006E-2</v>
      </c>
      <c r="U17" s="262"/>
      <c r="V17" s="262"/>
      <c r="W17" s="264">
        <v>3.5999999999999997E-2</v>
      </c>
      <c r="X17" s="262"/>
      <c r="Y17" s="279" t="s">
        <v>526</v>
      </c>
      <c r="Z17" s="264">
        <v>2.3E-2</v>
      </c>
      <c r="AA17" s="264"/>
      <c r="AB17" s="262"/>
      <c r="AC17" s="270">
        <v>13</v>
      </c>
      <c r="AD17" s="271">
        <v>2357443</v>
      </c>
      <c r="AE17" s="272">
        <v>6.3E-2</v>
      </c>
      <c r="AF17" s="262"/>
      <c r="AG17" s="264">
        <v>3.6999999999999998E-2</v>
      </c>
      <c r="AH17" s="140" t="s">
        <v>524</v>
      </c>
      <c r="AI17" s="140">
        <v>12</v>
      </c>
      <c r="AJ17" s="140">
        <v>185312</v>
      </c>
      <c r="AK17" s="278">
        <v>0</v>
      </c>
    </row>
    <row r="18" spans="1:37" x14ac:dyDescent="0.2">
      <c r="A18" s="257" t="s">
        <v>527</v>
      </c>
      <c r="B18" s="258">
        <v>150373</v>
      </c>
      <c r="C18" s="258">
        <v>134361</v>
      </c>
      <c r="D18" s="258">
        <v>16012</v>
      </c>
      <c r="E18" s="258">
        <v>45276</v>
      </c>
      <c r="F18" s="258">
        <v>32898</v>
      </c>
      <c r="G18" s="258">
        <v>2218</v>
      </c>
      <c r="H18" s="258">
        <v>3814</v>
      </c>
      <c r="I18" s="258">
        <v>4352</v>
      </c>
      <c r="J18" s="258">
        <v>1994</v>
      </c>
      <c r="K18" s="258">
        <v>42346</v>
      </c>
      <c r="L18" s="259">
        <v>6.5000000000000002E-2</v>
      </c>
      <c r="M18" s="260">
        <v>3.17</v>
      </c>
      <c r="N18" s="261">
        <v>13</v>
      </c>
      <c r="O18" s="262"/>
      <c r="P18" s="263">
        <v>0.72660000000000002</v>
      </c>
      <c r="Q18" s="263">
        <v>4.9000000000000002E-2</v>
      </c>
      <c r="R18" s="263">
        <v>8.4199999999999997E-2</v>
      </c>
      <c r="S18" s="263">
        <v>9.6100000000000005E-2</v>
      </c>
      <c r="T18" s="263">
        <v>4.3999999999999997E-2</v>
      </c>
      <c r="U18" s="262"/>
      <c r="V18" s="262"/>
      <c r="W18" s="264">
        <v>0.106</v>
      </c>
      <c r="X18" s="262"/>
      <c r="Y18" s="256" t="s">
        <v>520</v>
      </c>
      <c r="Z18" s="264">
        <v>4.0000000000000001E-3</v>
      </c>
      <c r="AA18" s="264"/>
      <c r="AB18" s="262"/>
      <c r="AC18" s="275">
        <v>14</v>
      </c>
      <c r="AD18" s="276">
        <v>895197</v>
      </c>
      <c r="AE18" s="272">
        <v>2.4E-2</v>
      </c>
      <c r="AF18" s="262"/>
      <c r="AG18" s="264">
        <v>5.5E-2</v>
      </c>
      <c r="AH18" s="140" t="s">
        <v>524</v>
      </c>
      <c r="AI18" s="140">
        <v>16</v>
      </c>
      <c r="AJ18" s="140">
        <v>38819</v>
      </c>
      <c r="AK18" s="278">
        <v>0</v>
      </c>
    </row>
    <row r="19" spans="1:37" x14ac:dyDescent="0.2">
      <c r="A19" s="257" t="s">
        <v>528</v>
      </c>
      <c r="B19" s="258">
        <v>64306</v>
      </c>
      <c r="C19" s="258">
        <v>63146</v>
      </c>
      <c r="D19" s="258">
        <v>1160</v>
      </c>
      <c r="E19" s="258">
        <v>34278</v>
      </c>
      <c r="F19" s="258">
        <v>23247</v>
      </c>
      <c r="G19" s="258">
        <v>458</v>
      </c>
      <c r="H19" s="258">
        <v>1142</v>
      </c>
      <c r="I19" s="258">
        <v>1607</v>
      </c>
      <c r="J19" s="258">
        <v>7824</v>
      </c>
      <c r="K19" s="258">
        <v>26537</v>
      </c>
      <c r="L19" s="259">
        <v>0.22600000000000001</v>
      </c>
      <c r="M19" s="260">
        <v>2.38</v>
      </c>
      <c r="N19" s="261">
        <v>2</v>
      </c>
      <c r="O19" s="262"/>
      <c r="P19" s="263">
        <v>0.67820000000000003</v>
      </c>
      <c r="Q19" s="263">
        <v>1.34E-2</v>
      </c>
      <c r="R19" s="263">
        <v>3.3300000000000003E-2</v>
      </c>
      <c r="S19" s="263">
        <v>4.6899999999999997E-2</v>
      </c>
      <c r="T19" s="263">
        <v>0.2283</v>
      </c>
      <c r="U19" s="262"/>
      <c r="V19" s="262"/>
      <c r="W19" s="264">
        <v>1.7999999999999999E-2</v>
      </c>
      <c r="X19" s="262"/>
      <c r="Y19" s="256">
        <v>2</v>
      </c>
      <c r="Z19" s="264">
        <v>2E-3</v>
      </c>
      <c r="AA19" s="264"/>
      <c r="AB19" s="262">
        <v>2</v>
      </c>
      <c r="AC19" s="270">
        <v>15</v>
      </c>
      <c r="AD19" s="271">
        <v>665725</v>
      </c>
      <c r="AE19" s="272">
        <v>1.7999999999999999E-2</v>
      </c>
      <c r="AF19" s="262"/>
      <c r="AG19" s="264">
        <v>5.0000000000000001E-3</v>
      </c>
      <c r="AH19" s="140" t="s">
        <v>524</v>
      </c>
      <c r="AI19" s="140">
        <v>2</v>
      </c>
      <c r="AJ19" s="140">
        <v>1431082</v>
      </c>
      <c r="AK19" s="278">
        <v>2.9999999999999997E-4</v>
      </c>
    </row>
    <row r="20" spans="1:37" x14ac:dyDescent="0.2">
      <c r="A20" s="257" t="s">
        <v>529</v>
      </c>
      <c r="B20" s="258">
        <v>30780</v>
      </c>
      <c r="C20" s="258">
        <v>23153</v>
      </c>
      <c r="D20" s="258">
        <v>7627</v>
      </c>
      <c r="E20" s="258">
        <v>12742</v>
      </c>
      <c r="F20" s="258">
        <v>9064</v>
      </c>
      <c r="G20" s="258">
        <v>296</v>
      </c>
      <c r="H20" s="258">
        <v>309</v>
      </c>
      <c r="I20" s="258">
        <v>741</v>
      </c>
      <c r="J20" s="258">
        <v>2332</v>
      </c>
      <c r="K20" s="258">
        <v>9762</v>
      </c>
      <c r="L20" s="259">
        <v>0.23400000000000001</v>
      </c>
      <c r="M20" s="260">
        <v>2.37</v>
      </c>
      <c r="N20" s="261">
        <v>16</v>
      </c>
      <c r="O20" s="262"/>
      <c r="P20" s="263">
        <v>0.71130000000000004</v>
      </c>
      <c r="Q20" s="263">
        <v>2.3199999999999998E-2</v>
      </c>
      <c r="R20" s="263">
        <v>2.4299999999999999E-2</v>
      </c>
      <c r="S20" s="263">
        <v>5.8200000000000002E-2</v>
      </c>
      <c r="T20" s="263">
        <v>0.183</v>
      </c>
      <c r="U20" s="262"/>
      <c r="V20" s="262"/>
      <c r="W20" s="264">
        <v>0.248</v>
      </c>
      <c r="X20" s="262"/>
      <c r="Y20" s="256">
        <v>16</v>
      </c>
      <c r="Z20" s="264">
        <v>1E-3</v>
      </c>
      <c r="AA20" s="264">
        <v>1E-3</v>
      </c>
      <c r="AB20" s="262">
        <v>16</v>
      </c>
      <c r="AC20" s="275">
        <v>16</v>
      </c>
      <c r="AD20" s="276">
        <v>623355</v>
      </c>
      <c r="AE20" s="272">
        <v>1.7000000000000001E-2</v>
      </c>
      <c r="AF20" s="262"/>
      <c r="AG20" s="264">
        <v>2.7E-2</v>
      </c>
      <c r="AH20" s="140" t="s">
        <v>530</v>
      </c>
      <c r="AI20" s="140">
        <v>12</v>
      </c>
      <c r="AJ20" s="140">
        <v>2869769058</v>
      </c>
      <c r="AK20" s="278">
        <v>0.91830000000000001</v>
      </c>
    </row>
    <row r="21" spans="1:37" x14ac:dyDescent="0.2">
      <c r="A21" s="257" t="s">
        <v>531</v>
      </c>
      <c r="B21" s="258">
        <v>10241335</v>
      </c>
      <c r="C21" s="258">
        <v>10060831</v>
      </c>
      <c r="D21" s="258">
        <v>180504</v>
      </c>
      <c r="E21" s="258">
        <v>3504061</v>
      </c>
      <c r="F21" s="258">
        <v>1722821</v>
      </c>
      <c r="G21" s="258">
        <v>230228</v>
      </c>
      <c r="H21" s="258">
        <v>286298</v>
      </c>
      <c r="I21" s="258">
        <v>1206417</v>
      </c>
      <c r="J21" s="258">
        <v>58297</v>
      </c>
      <c r="K21" s="258">
        <v>3308022</v>
      </c>
      <c r="L21" s="259">
        <v>5.6000000000000001E-2</v>
      </c>
      <c r="M21" s="260">
        <v>3.04</v>
      </c>
      <c r="N21" s="261">
        <v>6</v>
      </c>
      <c r="O21" s="262"/>
      <c r="P21" s="263">
        <v>0.49170000000000003</v>
      </c>
      <c r="Q21" s="263">
        <v>6.5699999999999995E-2</v>
      </c>
      <c r="R21" s="263">
        <v>8.1699999999999995E-2</v>
      </c>
      <c r="S21" s="263">
        <v>0.34429999999999999</v>
      </c>
      <c r="T21" s="263">
        <v>1.66E-2</v>
      </c>
      <c r="U21" s="262"/>
      <c r="V21" s="262"/>
      <c r="W21" s="264">
        <v>1.7999999999999999E-2</v>
      </c>
      <c r="X21" s="262"/>
      <c r="Y21" s="256" t="s">
        <v>532</v>
      </c>
      <c r="Z21" s="280">
        <v>0.26100000000000001</v>
      </c>
      <c r="AA21" s="280">
        <v>5.1999999999999998E-2</v>
      </c>
      <c r="AB21" s="262"/>
      <c r="AC21" s="281" t="s">
        <v>533</v>
      </c>
      <c r="AD21" s="282">
        <v>37203241</v>
      </c>
      <c r="AE21" s="272">
        <v>1</v>
      </c>
      <c r="AF21" s="262"/>
      <c r="AG21" s="264">
        <v>0</v>
      </c>
      <c r="AH21" s="140" t="s">
        <v>530</v>
      </c>
      <c r="AI21" s="140">
        <v>3</v>
      </c>
      <c r="AJ21" s="140">
        <v>255386667</v>
      </c>
      <c r="AK21" s="278">
        <v>8.1699999999999995E-2</v>
      </c>
    </row>
    <row r="22" spans="1:37" x14ac:dyDescent="0.2">
      <c r="A22" s="257" t="s">
        <v>534</v>
      </c>
      <c r="B22" s="258">
        <v>155349</v>
      </c>
      <c r="C22" s="258">
        <v>147862</v>
      </c>
      <c r="D22" s="258">
        <v>7487</v>
      </c>
      <c r="E22" s="258">
        <v>49978</v>
      </c>
      <c r="F22" s="258">
        <v>39907</v>
      </c>
      <c r="G22" s="258">
        <v>659</v>
      </c>
      <c r="H22" s="258">
        <v>3379</v>
      </c>
      <c r="I22" s="258">
        <v>2614</v>
      </c>
      <c r="J22" s="258">
        <v>3419</v>
      </c>
      <c r="K22" s="258">
        <v>44322</v>
      </c>
      <c r="L22" s="259">
        <v>0.113</v>
      </c>
      <c r="M22" s="260">
        <v>3.34</v>
      </c>
      <c r="N22" s="261">
        <v>16</v>
      </c>
      <c r="O22" s="262"/>
      <c r="P22" s="263">
        <v>0.79849999999999999</v>
      </c>
      <c r="Q22" s="263">
        <v>1.32E-2</v>
      </c>
      <c r="R22" s="263">
        <v>6.7599999999999993E-2</v>
      </c>
      <c r="S22" s="263">
        <v>5.2299999999999999E-2</v>
      </c>
      <c r="T22" s="263">
        <v>6.8400000000000002E-2</v>
      </c>
      <c r="U22" s="262"/>
      <c r="V22" s="262"/>
      <c r="W22" s="264">
        <v>4.8000000000000001E-2</v>
      </c>
      <c r="X22" s="262"/>
      <c r="Y22" s="256">
        <v>16</v>
      </c>
      <c r="Z22" s="264">
        <v>4.0000000000000001E-3</v>
      </c>
      <c r="AA22" s="264">
        <v>4.0000000000000001E-3</v>
      </c>
      <c r="AB22" s="262">
        <v>16</v>
      </c>
      <c r="AC22" s="262"/>
      <c r="AD22" s="262"/>
      <c r="AE22" s="262"/>
      <c r="AF22" s="262"/>
      <c r="AG22" s="262"/>
      <c r="AH22" s="140" t="s">
        <v>535</v>
      </c>
      <c r="AI22" s="140">
        <v>1</v>
      </c>
      <c r="AJ22" s="140">
        <v>1328149475</v>
      </c>
      <c r="AK22" s="278">
        <v>0.28149999999999997</v>
      </c>
    </row>
    <row r="23" spans="1:37" x14ac:dyDescent="0.2">
      <c r="A23" s="257" t="s">
        <v>536</v>
      </c>
      <c r="B23" s="258">
        <v>262274</v>
      </c>
      <c r="C23" s="258">
        <v>254342</v>
      </c>
      <c r="D23" s="258">
        <v>7932</v>
      </c>
      <c r="E23" s="258">
        <v>111912</v>
      </c>
      <c r="F23" s="258">
        <v>68577</v>
      </c>
      <c r="G23" s="258">
        <v>11275</v>
      </c>
      <c r="H23" s="258">
        <v>8288</v>
      </c>
      <c r="I23" s="258">
        <v>21794</v>
      </c>
      <c r="J23" s="258">
        <v>1978</v>
      </c>
      <c r="K23" s="258">
        <v>103127</v>
      </c>
      <c r="L23" s="259">
        <v>7.8E-2</v>
      </c>
      <c r="M23" s="260">
        <v>2.4700000000000002</v>
      </c>
      <c r="N23" s="261">
        <v>3</v>
      </c>
      <c r="O23" s="262"/>
      <c r="P23" s="263">
        <v>0.61280000000000001</v>
      </c>
      <c r="Q23" s="263">
        <v>0.1007</v>
      </c>
      <c r="R23" s="263">
        <v>7.4099999999999999E-2</v>
      </c>
      <c r="S23" s="263">
        <v>0.19470000000000001</v>
      </c>
      <c r="T23" s="263">
        <v>1.77E-2</v>
      </c>
      <c r="U23" s="262"/>
      <c r="V23" s="262"/>
      <c r="W23" s="264">
        <v>0.03</v>
      </c>
      <c r="X23" s="262"/>
      <c r="Y23" s="256" t="s">
        <v>537</v>
      </c>
      <c r="Z23" s="264">
        <v>7.0000000000000001E-3</v>
      </c>
      <c r="AA23" s="264"/>
      <c r="AB23" s="262">
        <v>2</v>
      </c>
      <c r="AC23" s="262"/>
      <c r="AD23" s="262"/>
      <c r="AE23" s="262"/>
      <c r="AF23" s="262"/>
      <c r="AG23" s="262"/>
      <c r="AH23" s="140" t="s">
        <v>535</v>
      </c>
      <c r="AI23" s="140">
        <v>16</v>
      </c>
      <c r="AJ23" s="140">
        <v>3390044925</v>
      </c>
      <c r="AK23" s="278">
        <v>0.71850000000000003</v>
      </c>
    </row>
    <row r="24" spans="1:37" x14ac:dyDescent="0.2">
      <c r="A24" s="267" t="s">
        <v>538</v>
      </c>
      <c r="B24" s="258">
        <v>18159</v>
      </c>
      <c r="C24" s="258">
        <v>17434</v>
      </c>
      <c r="D24" s="258">
        <v>725</v>
      </c>
      <c r="E24" s="258">
        <v>10467</v>
      </c>
      <c r="F24" s="258">
        <v>7034</v>
      </c>
      <c r="G24" s="258">
        <v>187</v>
      </c>
      <c r="H24" s="258">
        <v>529</v>
      </c>
      <c r="I24" s="258">
        <v>309</v>
      </c>
      <c r="J24" s="258">
        <v>2408</v>
      </c>
      <c r="K24" s="258">
        <v>7871</v>
      </c>
      <c r="L24" s="259">
        <v>0.248</v>
      </c>
      <c r="M24" s="260">
        <v>2.2200000000000002</v>
      </c>
      <c r="N24" s="261">
        <v>12</v>
      </c>
      <c r="O24" s="262"/>
      <c r="P24" s="263">
        <v>0.67200000000000004</v>
      </c>
      <c r="Q24" s="263">
        <v>1.7899999999999999E-2</v>
      </c>
      <c r="R24" s="263">
        <v>5.0500000000000003E-2</v>
      </c>
      <c r="S24" s="263">
        <v>2.9499999999999998E-2</v>
      </c>
      <c r="T24" s="263">
        <v>0.2301</v>
      </c>
      <c r="U24" s="262"/>
      <c r="V24" s="262"/>
      <c r="W24" s="264">
        <v>0.04</v>
      </c>
      <c r="X24" s="262"/>
      <c r="Y24" s="256">
        <v>12</v>
      </c>
      <c r="Z24" s="264">
        <v>0</v>
      </c>
      <c r="AA24" s="264"/>
      <c r="AB24" s="262">
        <v>12</v>
      </c>
      <c r="AC24" s="262"/>
      <c r="AD24" s="262"/>
      <c r="AE24" s="262"/>
      <c r="AF24" s="262"/>
      <c r="AG24" s="262"/>
      <c r="AH24" s="140" t="s">
        <v>539</v>
      </c>
      <c r="AI24" s="140">
        <v>11</v>
      </c>
      <c r="AJ24" s="140">
        <v>400941</v>
      </c>
      <c r="AK24" s="278">
        <v>1E-4</v>
      </c>
    </row>
    <row r="25" spans="1:37" x14ac:dyDescent="0.2">
      <c r="A25" s="257" t="s">
        <v>540</v>
      </c>
      <c r="B25" s="258">
        <v>88378</v>
      </c>
      <c r="C25" s="258">
        <v>86403</v>
      </c>
      <c r="D25" s="258">
        <v>1975</v>
      </c>
      <c r="E25" s="258">
        <v>40827</v>
      </c>
      <c r="F25" s="258">
        <v>28605</v>
      </c>
      <c r="G25" s="258">
        <v>1370</v>
      </c>
      <c r="H25" s="258">
        <v>2519</v>
      </c>
      <c r="I25" s="258">
        <v>2791</v>
      </c>
      <c r="J25" s="258">
        <v>5542</v>
      </c>
      <c r="K25" s="258">
        <v>34226</v>
      </c>
      <c r="L25" s="259">
        <v>0.16200000000000001</v>
      </c>
      <c r="M25" s="260">
        <v>2.52</v>
      </c>
      <c r="N25" s="261">
        <v>2</v>
      </c>
      <c r="O25" s="262"/>
      <c r="P25" s="263">
        <v>0.7006</v>
      </c>
      <c r="Q25" s="263">
        <v>3.3599999999999998E-2</v>
      </c>
      <c r="R25" s="263">
        <v>6.1699999999999998E-2</v>
      </c>
      <c r="S25" s="263">
        <v>6.8400000000000002E-2</v>
      </c>
      <c r="T25" s="263">
        <v>0.13569999999999999</v>
      </c>
      <c r="U25" s="262"/>
      <c r="V25" s="262"/>
      <c r="W25" s="264">
        <v>2.1999999999999999E-2</v>
      </c>
      <c r="X25" s="262"/>
      <c r="Y25" s="256">
        <v>2</v>
      </c>
      <c r="Z25" s="264">
        <v>2E-3</v>
      </c>
      <c r="AA25" s="264"/>
      <c r="AB25" s="262">
        <v>2</v>
      </c>
      <c r="AC25" s="262"/>
      <c r="AD25" s="262"/>
      <c r="AE25" s="262"/>
      <c r="AF25" s="262"/>
      <c r="AG25" s="262"/>
      <c r="AH25" s="140" t="s">
        <v>539</v>
      </c>
      <c r="AI25" s="140">
        <v>12</v>
      </c>
      <c r="AJ25" s="140">
        <v>2554546404</v>
      </c>
      <c r="AK25" s="278">
        <v>0.33510000000000001</v>
      </c>
    </row>
    <row r="26" spans="1:37" x14ac:dyDescent="0.2">
      <c r="A26" s="257" t="s">
        <v>541</v>
      </c>
      <c r="B26" s="258">
        <v>271579</v>
      </c>
      <c r="C26" s="258">
        <v>265835</v>
      </c>
      <c r="D26" s="258">
        <v>5744</v>
      </c>
      <c r="E26" s="258">
        <v>84660</v>
      </c>
      <c r="F26" s="258">
        <v>61305</v>
      </c>
      <c r="G26" s="258">
        <v>2683</v>
      </c>
      <c r="H26" s="258">
        <v>7567</v>
      </c>
      <c r="I26" s="258">
        <v>7523</v>
      </c>
      <c r="J26" s="258">
        <v>5582</v>
      </c>
      <c r="K26" s="258">
        <v>79530</v>
      </c>
      <c r="L26" s="259">
        <v>6.0999999999999999E-2</v>
      </c>
      <c r="M26" s="260">
        <v>3.34</v>
      </c>
      <c r="N26" s="261">
        <v>2</v>
      </c>
      <c r="O26" s="262"/>
      <c r="P26" s="263">
        <v>0.72409999999999997</v>
      </c>
      <c r="Q26" s="263">
        <v>3.1699999999999999E-2</v>
      </c>
      <c r="R26" s="263">
        <v>8.9399999999999993E-2</v>
      </c>
      <c r="S26" s="263">
        <v>8.8900000000000007E-2</v>
      </c>
      <c r="T26" s="263">
        <v>6.59E-2</v>
      </c>
      <c r="U26" s="262"/>
      <c r="V26" s="262"/>
      <c r="W26" s="264">
        <v>2.1000000000000001E-2</v>
      </c>
      <c r="X26" s="262"/>
      <c r="Y26" s="256">
        <v>2</v>
      </c>
      <c r="Z26" s="264">
        <v>7.0000000000000001E-3</v>
      </c>
      <c r="AA26" s="264"/>
      <c r="AB26" s="262">
        <v>2</v>
      </c>
      <c r="AC26" s="262"/>
      <c r="AD26" s="262"/>
      <c r="AE26" s="262"/>
      <c r="AF26" s="262"/>
      <c r="AG26" s="262"/>
      <c r="AH26" s="140" t="s">
        <v>539</v>
      </c>
      <c r="AI26" s="140">
        <v>16</v>
      </c>
      <c r="AJ26" s="140">
        <v>5069177112</v>
      </c>
      <c r="AK26" s="278">
        <v>0.66490000000000005</v>
      </c>
    </row>
    <row r="27" spans="1:37" x14ac:dyDescent="0.2">
      <c r="A27" s="257" t="s">
        <v>542</v>
      </c>
      <c r="B27" s="258">
        <v>9638</v>
      </c>
      <c r="C27" s="258">
        <v>9286</v>
      </c>
      <c r="D27" s="258">
        <v>352</v>
      </c>
      <c r="E27" s="258">
        <v>5252</v>
      </c>
      <c r="F27" s="258">
        <v>3935</v>
      </c>
      <c r="G27" s="258">
        <v>109</v>
      </c>
      <c r="H27" s="258">
        <v>119</v>
      </c>
      <c r="I27" s="258">
        <v>161</v>
      </c>
      <c r="J27" s="258">
        <v>928</v>
      </c>
      <c r="K27" s="258">
        <v>4072</v>
      </c>
      <c r="L27" s="259">
        <v>0.22500000000000001</v>
      </c>
      <c r="M27" s="260">
        <v>2.2799999999999998</v>
      </c>
      <c r="N27" s="261">
        <v>16</v>
      </c>
      <c r="O27" s="262"/>
      <c r="P27" s="263">
        <v>0.74919999999999998</v>
      </c>
      <c r="Q27" s="263">
        <v>2.0799999999999999E-2</v>
      </c>
      <c r="R27" s="263">
        <v>2.2700000000000001E-2</v>
      </c>
      <c r="S27" s="263">
        <v>3.0700000000000002E-2</v>
      </c>
      <c r="T27" s="263">
        <v>0.1767</v>
      </c>
      <c r="U27" s="262"/>
      <c r="V27" s="262"/>
      <c r="W27" s="264">
        <v>3.6999999999999998E-2</v>
      </c>
      <c r="X27" s="262"/>
      <c r="Y27" s="256">
        <v>16</v>
      </c>
      <c r="Z27" s="264">
        <v>0</v>
      </c>
      <c r="AA27" s="264">
        <v>0</v>
      </c>
      <c r="AB27" s="262">
        <v>16</v>
      </c>
      <c r="AC27" s="262"/>
      <c r="AD27" s="262"/>
      <c r="AE27" s="262"/>
      <c r="AF27" s="262"/>
      <c r="AG27" s="262"/>
      <c r="AH27" s="140" t="s">
        <v>543</v>
      </c>
      <c r="AI27" s="140">
        <v>12</v>
      </c>
      <c r="AJ27" s="140">
        <v>603251</v>
      </c>
      <c r="AK27" s="278">
        <v>0</v>
      </c>
    </row>
    <row r="28" spans="1:37" x14ac:dyDescent="0.2">
      <c r="A28" s="257" t="s">
        <v>544</v>
      </c>
      <c r="B28" s="258">
        <v>13721</v>
      </c>
      <c r="C28" s="258">
        <v>13396</v>
      </c>
      <c r="D28" s="258">
        <v>325</v>
      </c>
      <c r="E28" s="258">
        <v>14000</v>
      </c>
      <c r="F28" s="258">
        <v>5296</v>
      </c>
      <c r="G28" s="258">
        <v>405</v>
      </c>
      <c r="H28" s="258">
        <v>2688</v>
      </c>
      <c r="I28" s="258">
        <v>4547</v>
      </c>
      <c r="J28" s="258">
        <v>1064</v>
      </c>
      <c r="K28" s="258">
        <v>5879</v>
      </c>
      <c r="L28" s="259">
        <v>0.57999999999999996</v>
      </c>
      <c r="M28" s="260">
        <v>2.2799999999999998</v>
      </c>
      <c r="N28" s="261">
        <v>16</v>
      </c>
      <c r="O28" s="262"/>
      <c r="P28" s="263">
        <v>0.37830000000000003</v>
      </c>
      <c r="Q28" s="263">
        <v>2.8899999999999999E-2</v>
      </c>
      <c r="R28" s="263">
        <v>0.192</v>
      </c>
      <c r="S28" s="263">
        <v>0.32479999999999998</v>
      </c>
      <c r="T28" s="263">
        <v>7.5999999999999998E-2</v>
      </c>
      <c r="U28" s="262"/>
      <c r="V28" s="262"/>
      <c r="W28" s="264">
        <v>2.4E-2</v>
      </c>
      <c r="X28" s="262"/>
      <c r="Y28" s="256">
        <v>16</v>
      </c>
      <c r="Z28" s="264">
        <v>0</v>
      </c>
      <c r="AA28" s="264">
        <v>0</v>
      </c>
      <c r="AB28" s="262">
        <v>16</v>
      </c>
      <c r="AC28" s="262"/>
      <c r="AD28" s="262"/>
      <c r="AE28" s="262"/>
      <c r="AF28" s="262"/>
      <c r="AG28" s="262"/>
      <c r="AH28" s="140" t="s">
        <v>543</v>
      </c>
      <c r="AI28" s="140">
        <v>13</v>
      </c>
      <c r="AJ28" s="140">
        <v>15373879401</v>
      </c>
      <c r="AK28" s="278">
        <v>0.63260000000000005</v>
      </c>
    </row>
    <row r="29" spans="1:37" x14ac:dyDescent="0.2">
      <c r="A29" s="257" t="s">
        <v>545</v>
      </c>
      <c r="B29" s="258">
        <v>437178</v>
      </c>
      <c r="C29" s="258">
        <v>416584</v>
      </c>
      <c r="D29" s="258">
        <v>20594</v>
      </c>
      <c r="E29" s="258">
        <v>139435</v>
      </c>
      <c r="F29" s="258">
        <v>88062</v>
      </c>
      <c r="G29" s="258">
        <v>8911</v>
      </c>
      <c r="H29" s="258">
        <v>12496</v>
      </c>
      <c r="I29" s="258">
        <v>24269</v>
      </c>
      <c r="J29" s="258">
        <v>5697</v>
      </c>
      <c r="K29" s="258">
        <v>126182</v>
      </c>
      <c r="L29" s="259">
        <v>9.5000000000000001E-2</v>
      </c>
      <c r="M29" s="260">
        <v>3.3</v>
      </c>
      <c r="N29" s="261">
        <v>3</v>
      </c>
      <c r="O29" s="262"/>
      <c r="P29" s="263">
        <v>0.63160000000000005</v>
      </c>
      <c r="Q29" s="263">
        <v>6.3899999999999998E-2</v>
      </c>
      <c r="R29" s="263">
        <v>8.9599999999999999E-2</v>
      </c>
      <c r="S29" s="263">
        <v>0.1741</v>
      </c>
      <c r="T29" s="263">
        <v>4.0899999999999999E-2</v>
      </c>
      <c r="U29" s="262"/>
      <c r="V29" s="262"/>
      <c r="W29" s="264">
        <v>4.7E-2</v>
      </c>
      <c r="X29" s="262"/>
      <c r="Y29" s="256">
        <v>3</v>
      </c>
      <c r="Z29" s="264">
        <v>1.0999999999999999E-2</v>
      </c>
      <c r="AA29" s="264"/>
      <c r="AB29" s="262">
        <v>3</v>
      </c>
      <c r="AC29" s="262"/>
      <c r="AD29" s="262"/>
      <c r="AE29" s="262"/>
      <c r="AF29" s="262"/>
      <c r="AG29" s="262"/>
      <c r="AH29" s="140" t="s">
        <v>543</v>
      </c>
      <c r="AI29" s="140">
        <v>16</v>
      </c>
      <c r="AJ29" s="140">
        <v>8926331012</v>
      </c>
      <c r="AK29" s="278">
        <v>0.36730000000000002</v>
      </c>
    </row>
    <row r="30" spans="1:37" x14ac:dyDescent="0.2">
      <c r="A30" s="257" t="s">
        <v>546</v>
      </c>
      <c r="B30" s="258">
        <v>142028</v>
      </c>
      <c r="C30" s="258">
        <v>137113</v>
      </c>
      <c r="D30" s="258">
        <v>4915</v>
      </c>
      <c r="E30" s="258">
        <v>55372</v>
      </c>
      <c r="F30" s="258">
        <v>37880</v>
      </c>
      <c r="G30" s="258">
        <v>2962</v>
      </c>
      <c r="H30" s="258">
        <v>4104</v>
      </c>
      <c r="I30" s="258">
        <v>6630</v>
      </c>
      <c r="J30" s="258">
        <v>3796</v>
      </c>
      <c r="K30" s="258">
        <v>50117</v>
      </c>
      <c r="L30" s="259">
        <v>9.5000000000000001E-2</v>
      </c>
      <c r="M30" s="260">
        <v>2.74</v>
      </c>
      <c r="N30" s="261">
        <v>2</v>
      </c>
      <c r="O30" s="262"/>
      <c r="P30" s="263">
        <v>0.68410000000000004</v>
      </c>
      <c r="Q30" s="263">
        <v>5.3499999999999999E-2</v>
      </c>
      <c r="R30" s="263">
        <v>7.4099999999999999E-2</v>
      </c>
      <c r="S30" s="263">
        <v>0.1197</v>
      </c>
      <c r="T30" s="263">
        <v>6.8599999999999994E-2</v>
      </c>
      <c r="U30" s="262"/>
      <c r="V30" s="262"/>
      <c r="W30" s="264">
        <v>3.5000000000000003E-2</v>
      </c>
      <c r="X30" s="262"/>
      <c r="Y30" s="256">
        <v>2</v>
      </c>
      <c r="Z30" s="264">
        <v>4.0000000000000001E-3</v>
      </c>
      <c r="AA30" s="264"/>
      <c r="AB30" s="262">
        <v>2</v>
      </c>
      <c r="AC30" s="262"/>
      <c r="AD30" s="262"/>
      <c r="AE30" s="262"/>
      <c r="AF30" s="262"/>
      <c r="AG30" s="262"/>
      <c r="AH30" s="140" t="s">
        <v>543</v>
      </c>
      <c r="AI30" s="140">
        <v>4</v>
      </c>
      <c r="AJ30" s="140">
        <v>2060431</v>
      </c>
      <c r="AK30" s="278">
        <v>1E-4</v>
      </c>
    </row>
    <row r="31" spans="1:37" x14ac:dyDescent="0.2">
      <c r="A31" s="257" t="s">
        <v>547</v>
      </c>
      <c r="B31" s="258">
        <v>98095</v>
      </c>
      <c r="C31" s="258">
        <v>96881</v>
      </c>
      <c r="D31" s="258">
        <v>1214</v>
      </c>
      <c r="E31" s="258">
        <v>53347</v>
      </c>
      <c r="F31" s="258">
        <v>44179</v>
      </c>
      <c r="G31" s="258">
        <v>840</v>
      </c>
      <c r="H31" s="258">
        <v>2250</v>
      </c>
      <c r="I31" s="258">
        <v>2911</v>
      </c>
      <c r="J31" s="258">
        <v>3167</v>
      </c>
      <c r="K31" s="258">
        <v>40167</v>
      </c>
      <c r="L31" s="259">
        <v>0.247</v>
      </c>
      <c r="M31" s="260">
        <v>2.41</v>
      </c>
      <c r="N31" s="261">
        <v>16</v>
      </c>
      <c r="O31" s="262"/>
      <c r="P31" s="263">
        <v>0.82809999999999995</v>
      </c>
      <c r="Q31" s="263">
        <v>1.5699999999999999E-2</v>
      </c>
      <c r="R31" s="263">
        <v>4.2200000000000001E-2</v>
      </c>
      <c r="S31" s="263">
        <v>5.4600000000000003E-2</v>
      </c>
      <c r="T31" s="263">
        <v>5.9400000000000001E-2</v>
      </c>
      <c r="U31" s="262"/>
      <c r="V31" s="262"/>
      <c r="W31" s="264">
        <v>1.2E-2</v>
      </c>
      <c r="X31" s="262"/>
      <c r="Y31" s="256" t="s">
        <v>504</v>
      </c>
      <c r="Z31" s="264">
        <v>2E-3</v>
      </c>
      <c r="AA31" s="264">
        <v>1E-3</v>
      </c>
      <c r="AB31" s="262">
        <v>11</v>
      </c>
      <c r="AC31" s="262"/>
      <c r="AD31" s="262"/>
      <c r="AE31" s="262"/>
      <c r="AF31" s="262"/>
      <c r="AG31" s="262"/>
      <c r="AH31" s="140" t="s">
        <v>548</v>
      </c>
      <c r="AI31" s="140">
        <v>11</v>
      </c>
      <c r="AJ31" s="140">
        <v>4268168697</v>
      </c>
      <c r="AK31" s="278">
        <v>0.73640000000000005</v>
      </c>
    </row>
    <row r="32" spans="1:37" x14ac:dyDescent="0.2">
      <c r="A32" s="257" t="s">
        <v>549</v>
      </c>
      <c r="B32" s="258">
        <v>3183011</v>
      </c>
      <c r="C32" s="258">
        <v>3133187</v>
      </c>
      <c r="D32" s="258">
        <v>49824</v>
      </c>
      <c r="E32" s="258">
        <v>1075705</v>
      </c>
      <c r="F32" s="258">
        <v>544263</v>
      </c>
      <c r="G32" s="258">
        <v>129191</v>
      </c>
      <c r="H32" s="258">
        <v>92887</v>
      </c>
      <c r="I32" s="258">
        <v>275866</v>
      </c>
      <c r="J32" s="258">
        <v>33492</v>
      </c>
      <c r="K32" s="258">
        <v>1024810</v>
      </c>
      <c r="L32" s="259">
        <v>4.7E-2</v>
      </c>
      <c r="M32" s="260">
        <v>3.06</v>
      </c>
      <c r="N32" s="261">
        <v>6</v>
      </c>
      <c r="O32" s="262"/>
      <c r="P32" s="263">
        <v>0.50600000000000001</v>
      </c>
      <c r="Q32" s="263">
        <v>0.1201</v>
      </c>
      <c r="R32" s="263">
        <v>8.6300000000000002E-2</v>
      </c>
      <c r="S32" s="263">
        <v>0.25650000000000001</v>
      </c>
      <c r="T32" s="263">
        <v>3.1099999999999999E-2</v>
      </c>
      <c r="U32" s="262"/>
      <c r="V32" s="262"/>
      <c r="W32" s="264">
        <v>1.6E-2</v>
      </c>
      <c r="X32" s="262"/>
      <c r="Y32" s="256" t="s">
        <v>550</v>
      </c>
      <c r="Z32" s="264">
        <v>8.1000000000000003E-2</v>
      </c>
      <c r="AA32" s="264"/>
      <c r="AB32" s="262"/>
      <c r="AC32" s="262"/>
      <c r="AD32" s="262"/>
      <c r="AE32" s="262"/>
      <c r="AF32" s="262"/>
      <c r="AG32" s="262"/>
      <c r="AH32" s="140" t="s">
        <v>548</v>
      </c>
      <c r="AI32" s="140">
        <v>16</v>
      </c>
      <c r="AJ32" s="140">
        <v>1527423355</v>
      </c>
      <c r="AK32" s="278">
        <v>0.26350000000000001</v>
      </c>
    </row>
    <row r="33" spans="1:37" x14ac:dyDescent="0.2">
      <c r="A33" s="257" t="s">
        <v>551</v>
      </c>
      <c r="B33" s="258">
        <v>373796</v>
      </c>
      <c r="C33" s="258">
        <v>370029</v>
      </c>
      <c r="D33" s="258">
        <v>3767</v>
      </c>
      <c r="E33" s="258">
        <v>159959</v>
      </c>
      <c r="F33" s="258">
        <v>124732</v>
      </c>
      <c r="G33" s="258">
        <v>4195</v>
      </c>
      <c r="H33" s="258">
        <v>8421</v>
      </c>
      <c r="I33" s="258">
        <v>18345</v>
      </c>
      <c r="J33" s="258">
        <v>4266</v>
      </c>
      <c r="K33" s="258">
        <v>139235</v>
      </c>
      <c r="L33" s="259">
        <v>0.13</v>
      </c>
      <c r="M33" s="260">
        <v>2.66</v>
      </c>
      <c r="N33" s="261">
        <v>16</v>
      </c>
      <c r="O33" s="262"/>
      <c r="P33" s="263">
        <v>0.77980000000000005</v>
      </c>
      <c r="Q33" s="263">
        <v>2.6200000000000001E-2</v>
      </c>
      <c r="R33" s="263">
        <v>5.2600000000000001E-2</v>
      </c>
      <c r="S33" s="263">
        <v>0.1147</v>
      </c>
      <c r="T33" s="263">
        <v>2.6700000000000002E-2</v>
      </c>
      <c r="U33" s="262"/>
      <c r="V33" s="262"/>
      <c r="W33" s="264">
        <v>0.01</v>
      </c>
      <c r="X33" s="262"/>
      <c r="Y33" s="256">
        <v>16</v>
      </c>
      <c r="Z33" s="264">
        <v>0.01</v>
      </c>
      <c r="AA33" s="264">
        <v>0.01</v>
      </c>
      <c r="AB33" s="262">
        <v>16</v>
      </c>
      <c r="AC33" s="262"/>
      <c r="AD33" s="262"/>
      <c r="AE33" s="262"/>
      <c r="AF33" s="262"/>
      <c r="AG33" s="262"/>
      <c r="AH33" s="140" t="s">
        <v>548</v>
      </c>
      <c r="AI33" s="140">
        <v>2</v>
      </c>
      <c r="AJ33" s="140">
        <v>503944</v>
      </c>
      <c r="AK33" s="278">
        <v>1E-4</v>
      </c>
    </row>
    <row r="34" spans="1:37" x14ac:dyDescent="0.2">
      <c r="A34" s="257" t="s">
        <v>552</v>
      </c>
      <c r="B34" s="258">
        <v>19879</v>
      </c>
      <c r="C34" s="258">
        <v>19588</v>
      </c>
      <c r="D34" s="258">
        <v>291</v>
      </c>
      <c r="E34" s="258">
        <v>15781</v>
      </c>
      <c r="F34" s="258">
        <v>12206</v>
      </c>
      <c r="G34" s="258">
        <v>393</v>
      </c>
      <c r="H34" s="258">
        <v>331</v>
      </c>
      <c r="I34" s="258">
        <v>667</v>
      </c>
      <c r="J34" s="258">
        <v>2184</v>
      </c>
      <c r="K34" s="258">
        <v>8540</v>
      </c>
      <c r="L34" s="259">
        <v>0.45900000000000002</v>
      </c>
      <c r="M34" s="260">
        <v>2.29</v>
      </c>
      <c r="N34" s="261">
        <v>16</v>
      </c>
      <c r="O34" s="262"/>
      <c r="P34" s="263">
        <v>0.77349999999999997</v>
      </c>
      <c r="Q34" s="263">
        <v>2.4899999999999999E-2</v>
      </c>
      <c r="R34" s="263">
        <v>2.1000000000000001E-2</v>
      </c>
      <c r="S34" s="263">
        <v>4.2299999999999997E-2</v>
      </c>
      <c r="T34" s="263">
        <v>0.1384</v>
      </c>
      <c r="U34" s="262"/>
      <c r="V34" s="262"/>
      <c r="W34" s="264">
        <v>1.4999999999999999E-2</v>
      </c>
      <c r="X34" s="262"/>
      <c r="Y34" s="256">
        <v>16</v>
      </c>
      <c r="Z34" s="264">
        <v>1E-3</v>
      </c>
      <c r="AA34" s="264">
        <v>1E-3</v>
      </c>
      <c r="AB34" s="262">
        <v>16</v>
      </c>
      <c r="AC34" s="262"/>
      <c r="AD34" s="262"/>
      <c r="AE34" s="262"/>
      <c r="AF34" s="262"/>
      <c r="AG34" s="262"/>
      <c r="AH34" s="140" t="s">
        <v>553</v>
      </c>
      <c r="AI34" s="140">
        <v>1</v>
      </c>
      <c r="AJ34" s="140">
        <v>8868961150</v>
      </c>
      <c r="AK34" s="278">
        <v>0.54869999999999997</v>
      </c>
    </row>
    <row r="35" spans="1:37" x14ac:dyDescent="0.2">
      <c r="A35" s="257" t="s">
        <v>554</v>
      </c>
      <c r="B35" s="258">
        <v>2347828</v>
      </c>
      <c r="C35" s="258">
        <v>2313786</v>
      </c>
      <c r="D35" s="258">
        <v>34042</v>
      </c>
      <c r="E35" s="258">
        <v>828383</v>
      </c>
      <c r="F35" s="258">
        <v>564348</v>
      </c>
      <c r="G35" s="258">
        <v>51593</v>
      </c>
      <c r="H35" s="258">
        <v>38630</v>
      </c>
      <c r="I35" s="258">
        <v>94477</v>
      </c>
      <c r="J35" s="258">
        <v>79335</v>
      </c>
      <c r="K35" s="258">
        <v>713205</v>
      </c>
      <c r="L35" s="259">
        <v>0.13900000000000001</v>
      </c>
      <c r="M35" s="260">
        <v>3.24</v>
      </c>
      <c r="N35" s="261">
        <v>15</v>
      </c>
      <c r="O35" s="262"/>
      <c r="P35" s="263">
        <v>0.68130000000000002</v>
      </c>
      <c r="Q35" s="263">
        <v>6.2300000000000001E-2</v>
      </c>
      <c r="R35" s="263">
        <v>4.6600000000000003E-2</v>
      </c>
      <c r="S35" s="263">
        <v>0.114</v>
      </c>
      <c r="T35" s="263">
        <v>9.5799999999999996E-2</v>
      </c>
      <c r="U35" s="262"/>
      <c r="V35" s="262"/>
      <c r="W35" s="264">
        <v>1.4E-2</v>
      </c>
      <c r="X35" s="262"/>
      <c r="Y35" s="256" t="s">
        <v>555</v>
      </c>
      <c r="Z35" s="264">
        <v>0.06</v>
      </c>
      <c r="AA35" s="264">
        <v>4.0000000000000001E-3</v>
      </c>
      <c r="AB35" s="262">
        <v>10</v>
      </c>
      <c r="AC35" s="262"/>
      <c r="AD35" s="262"/>
      <c r="AE35" s="262"/>
      <c r="AF35" s="262"/>
      <c r="AG35" s="262"/>
      <c r="AH35" s="140" t="s">
        <v>553</v>
      </c>
      <c r="AI35" s="140">
        <v>16</v>
      </c>
      <c r="AJ35" s="140">
        <v>614315381</v>
      </c>
      <c r="AK35" s="278">
        <v>3.7999999999999999E-2</v>
      </c>
    </row>
    <row r="36" spans="1:37" x14ac:dyDescent="0.2">
      <c r="A36" s="257" t="s">
        <v>556</v>
      </c>
      <c r="B36" s="258">
        <v>1495297</v>
      </c>
      <c r="C36" s="258">
        <v>1472793</v>
      </c>
      <c r="D36" s="258">
        <v>22504</v>
      </c>
      <c r="E36" s="258">
        <v>564517</v>
      </c>
      <c r="F36" s="258">
        <v>364176</v>
      </c>
      <c r="G36" s="258">
        <v>34766</v>
      </c>
      <c r="H36" s="258">
        <v>44953</v>
      </c>
      <c r="I36" s="258">
        <v>105778</v>
      </c>
      <c r="J36" s="258">
        <v>14844</v>
      </c>
      <c r="K36" s="258">
        <v>526915</v>
      </c>
      <c r="L36" s="259">
        <v>6.7000000000000004E-2</v>
      </c>
      <c r="M36" s="260">
        <v>2.8</v>
      </c>
      <c r="N36" s="261">
        <v>12</v>
      </c>
      <c r="O36" s="262"/>
      <c r="P36" s="263">
        <v>0.64510000000000001</v>
      </c>
      <c r="Q36" s="263">
        <v>6.1600000000000002E-2</v>
      </c>
      <c r="R36" s="263">
        <v>7.9600000000000004E-2</v>
      </c>
      <c r="S36" s="263">
        <v>0.18740000000000001</v>
      </c>
      <c r="T36" s="263">
        <v>2.63E-2</v>
      </c>
      <c r="U36" s="262"/>
      <c r="V36" s="262"/>
      <c r="W36" s="264">
        <v>1.4999999999999999E-2</v>
      </c>
      <c r="X36" s="262"/>
      <c r="Y36" s="256">
        <v>12</v>
      </c>
      <c r="Z36" s="264">
        <v>3.7999999999999999E-2</v>
      </c>
      <c r="AA36" s="264"/>
      <c r="AB36" s="262">
        <v>12</v>
      </c>
      <c r="AC36" s="262"/>
      <c r="AD36" s="262"/>
      <c r="AE36" s="262"/>
      <c r="AF36" s="262"/>
      <c r="AG36" s="262"/>
      <c r="AH36" s="140" t="s">
        <v>553</v>
      </c>
      <c r="AI36" s="140">
        <v>2</v>
      </c>
      <c r="AJ36" s="140">
        <v>6680681717</v>
      </c>
      <c r="AK36" s="278">
        <v>0.4133</v>
      </c>
    </row>
    <row r="37" spans="1:37" x14ac:dyDescent="0.2">
      <c r="A37" s="257" t="s">
        <v>557</v>
      </c>
      <c r="B37" s="258">
        <v>56648</v>
      </c>
      <c r="C37" s="258">
        <v>56253</v>
      </c>
      <c r="D37" s="258">
        <v>395</v>
      </c>
      <c r="E37" s="258">
        <v>18347</v>
      </c>
      <c r="F37" s="258">
        <v>14201</v>
      </c>
      <c r="G37" s="258">
        <v>739</v>
      </c>
      <c r="H37" s="258">
        <v>1408</v>
      </c>
      <c r="I37" s="258">
        <v>1150</v>
      </c>
      <c r="J37" s="258">
        <v>849</v>
      </c>
      <c r="K37" s="258">
        <v>17461</v>
      </c>
      <c r="L37" s="259">
        <v>4.8000000000000001E-2</v>
      </c>
      <c r="M37" s="260">
        <v>3.22</v>
      </c>
      <c r="N37" s="261">
        <v>4</v>
      </c>
      <c r="O37" s="262"/>
      <c r="P37" s="263">
        <v>0.77400000000000002</v>
      </c>
      <c r="Q37" s="263">
        <v>4.0300000000000002E-2</v>
      </c>
      <c r="R37" s="263">
        <v>7.6700000000000004E-2</v>
      </c>
      <c r="S37" s="263">
        <v>6.2700000000000006E-2</v>
      </c>
      <c r="T37" s="263">
        <v>4.6300000000000001E-2</v>
      </c>
      <c r="U37" s="262"/>
      <c r="V37" s="262"/>
      <c r="W37" s="264">
        <v>7.0000000000000001E-3</v>
      </c>
      <c r="X37" s="262"/>
      <c r="Y37" s="256">
        <v>4</v>
      </c>
      <c r="Z37" s="264">
        <v>1E-3</v>
      </c>
      <c r="AA37" s="264"/>
      <c r="AB37" s="262">
        <v>4</v>
      </c>
      <c r="AC37" s="262"/>
      <c r="AD37" s="262"/>
      <c r="AE37" s="262"/>
      <c r="AF37" s="262"/>
      <c r="AG37" s="262"/>
      <c r="AH37" s="140" t="s">
        <v>558</v>
      </c>
      <c r="AI37" s="140">
        <v>14</v>
      </c>
      <c r="AJ37" s="140">
        <v>1654491070</v>
      </c>
      <c r="AK37" s="278">
        <v>9.9900000000000003E-2</v>
      </c>
    </row>
    <row r="38" spans="1:37" x14ac:dyDescent="0.2">
      <c r="A38" s="257" t="s">
        <v>559</v>
      </c>
      <c r="B38" s="258">
        <v>2139570</v>
      </c>
      <c r="C38" s="258">
        <v>2102247</v>
      </c>
      <c r="D38" s="258">
        <v>37323</v>
      </c>
      <c r="E38" s="258">
        <v>711781</v>
      </c>
      <c r="F38" s="258">
        <v>506601</v>
      </c>
      <c r="G38" s="258">
        <v>24887</v>
      </c>
      <c r="H38" s="258">
        <v>45680</v>
      </c>
      <c r="I38" s="258">
        <v>90843</v>
      </c>
      <c r="J38" s="258">
        <v>43770</v>
      </c>
      <c r="K38" s="258">
        <v>631012</v>
      </c>
      <c r="L38" s="259">
        <v>0.113</v>
      </c>
      <c r="M38" s="260">
        <v>3.33</v>
      </c>
      <c r="N38" s="261">
        <v>14</v>
      </c>
      <c r="O38" s="262"/>
      <c r="P38" s="263">
        <v>0.7117</v>
      </c>
      <c r="Q38" s="263">
        <v>3.5000000000000003E-2</v>
      </c>
      <c r="R38" s="263">
        <v>6.4199999999999993E-2</v>
      </c>
      <c r="S38" s="263">
        <v>0.12759999999999999</v>
      </c>
      <c r="T38" s="263">
        <v>6.1499999999999999E-2</v>
      </c>
      <c r="U38" s="262"/>
      <c r="V38" s="262"/>
      <c r="W38" s="264">
        <v>1.7000000000000001E-2</v>
      </c>
      <c r="X38" s="262"/>
      <c r="Y38" s="256" t="s">
        <v>560</v>
      </c>
      <c r="Z38" s="264">
        <v>5.5E-2</v>
      </c>
      <c r="AA38" s="264">
        <v>3.0000000000000001E-3</v>
      </c>
      <c r="AB38" s="262">
        <v>14</v>
      </c>
      <c r="AC38" s="262"/>
      <c r="AD38" s="262"/>
      <c r="AE38" s="262"/>
      <c r="AF38" s="262"/>
      <c r="AG38" s="262"/>
      <c r="AH38" s="140" t="s">
        <v>558</v>
      </c>
      <c r="AI38" s="140">
        <v>15</v>
      </c>
      <c r="AJ38" s="140">
        <v>14908656362</v>
      </c>
      <c r="AK38" s="278">
        <v>0.90010000000000001</v>
      </c>
    </row>
    <row r="39" spans="1:37" x14ac:dyDescent="0.2">
      <c r="A39" s="257" t="s">
        <v>561</v>
      </c>
      <c r="B39" s="258">
        <v>3288612</v>
      </c>
      <c r="C39" s="258">
        <v>3181142</v>
      </c>
      <c r="D39" s="258">
        <v>107470</v>
      </c>
      <c r="E39" s="258">
        <v>1193395</v>
      </c>
      <c r="F39" s="258">
        <v>614416</v>
      </c>
      <c r="G39" s="258">
        <v>105184</v>
      </c>
      <c r="H39" s="258">
        <v>85921</v>
      </c>
      <c r="I39" s="258">
        <v>341914</v>
      </c>
      <c r="J39" s="258">
        <v>45960</v>
      </c>
      <c r="K39" s="258">
        <v>1126029</v>
      </c>
      <c r="L39" s="259">
        <v>5.6000000000000001E-2</v>
      </c>
      <c r="M39" s="260">
        <v>2.83</v>
      </c>
      <c r="N39" s="261">
        <v>14</v>
      </c>
      <c r="O39" s="262"/>
      <c r="P39" s="263">
        <v>0.51480000000000004</v>
      </c>
      <c r="Q39" s="263">
        <v>8.8099999999999998E-2</v>
      </c>
      <c r="R39" s="263">
        <v>7.1999999999999995E-2</v>
      </c>
      <c r="S39" s="263">
        <v>0.28649999999999998</v>
      </c>
      <c r="T39" s="263">
        <v>3.85E-2</v>
      </c>
      <c r="U39" s="262"/>
      <c r="V39" s="262"/>
      <c r="W39" s="264">
        <v>3.3000000000000002E-2</v>
      </c>
      <c r="X39" s="262"/>
      <c r="Y39" s="256" t="s">
        <v>562</v>
      </c>
      <c r="Z39" s="264">
        <v>8.4000000000000005E-2</v>
      </c>
      <c r="AA39" s="264"/>
      <c r="AB39" s="262">
        <v>10</v>
      </c>
      <c r="AC39" s="262"/>
      <c r="AD39" s="262"/>
      <c r="AE39" s="262"/>
      <c r="AF39" s="262"/>
      <c r="AG39" s="262"/>
      <c r="AH39" s="140" t="s">
        <v>563</v>
      </c>
      <c r="AI39" s="140">
        <v>14</v>
      </c>
      <c r="AJ39" s="140">
        <v>15417091097</v>
      </c>
      <c r="AK39" s="278">
        <v>0.37519999999999998</v>
      </c>
    </row>
    <row r="40" spans="1:37" x14ac:dyDescent="0.2">
      <c r="A40" s="267" t="s">
        <v>564</v>
      </c>
      <c r="B40" s="258">
        <v>866583</v>
      </c>
      <c r="C40" s="258">
        <v>841538</v>
      </c>
      <c r="D40" s="258">
        <v>25045</v>
      </c>
      <c r="E40" s="258">
        <v>387505</v>
      </c>
      <c r="F40" s="258">
        <v>65867</v>
      </c>
      <c r="G40" s="258">
        <v>59542</v>
      </c>
      <c r="H40" s="258">
        <v>81139</v>
      </c>
      <c r="I40" s="258">
        <v>180355</v>
      </c>
      <c r="J40" s="258">
        <v>602</v>
      </c>
      <c r="K40" s="258">
        <v>359416</v>
      </c>
      <c r="L40" s="259">
        <v>7.1999999999999995E-2</v>
      </c>
      <c r="M40" s="260">
        <v>2.34</v>
      </c>
      <c r="N40" s="261">
        <v>3</v>
      </c>
      <c r="O40" s="262"/>
      <c r="P40" s="263">
        <v>0.17</v>
      </c>
      <c r="Q40" s="263">
        <v>0.1537</v>
      </c>
      <c r="R40" s="263">
        <v>0.2094</v>
      </c>
      <c r="S40" s="263">
        <v>0.46539999999999998</v>
      </c>
      <c r="T40" s="263">
        <v>1.6000000000000001E-3</v>
      </c>
      <c r="U40" s="262"/>
      <c r="V40" s="262"/>
      <c r="W40" s="264">
        <v>2.9000000000000001E-2</v>
      </c>
      <c r="X40" s="262"/>
      <c r="Y40" s="256">
        <v>3</v>
      </c>
      <c r="Z40" s="264">
        <v>2.1999999999999999E-2</v>
      </c>
      <c r="AA40" s="264"/>
      <c r="AB40" s="262">
        <v>3</v>
      </c>
      <c r="AC40" s="262"/>
      <c r="AD40" s="262"/>
      <c r="AE40" s="262"/>
      <c r="AF40" s="262"/>
      <c r="AG40" s="262"/>
      <c r="AH40" s="140" t="s">
        <v>563</v>
      </c>
      <c r="AI40" s="140">
        <v>16</v>
      </c>
      <c r="AJ40" s="140">
        <v>25670577847</v>
      </c>
      <c r="AK40" s="278">
        <v>0.62480000000000002</v>
      </c>
    </row>
    <row r="41" spans="1:37" x14ac:dyDescent="0.2">
      <c r="A41" s="257" t="s">
        <v>565</v>
      </c>
      <c r="B41" s="258">
        <v>733383</v>
      </c>
      <c r="C41" s="258">
        <v>718251</v>
      </c>
      <c r="D41" s="258">
        <v>15132</v>
      </c>
      <c r="E41" s="258">
        <v>239405</v>
      </c>
      <c r="F41" s="258">
        <v>174411</v>
      </c>
      <c r="G41" s="258">
        <v>12278</v>
      </c>
      <c r="H41" s="258">
        <v>14902</v>
      </c>
      <c r="I41" s="258">
        <v>29162</v>
      </c>
      <c r="J41" s="258">
        <v>8652</v>
      </c>
      <c r="K41" s="258">
        <v>226579</v>
      </c>
      <c r="L41" s="259">
        <v>5.3999999999999999E-2</v>
      </c>
      <c r="M41" s="260">
        <v>3.17</v>
      </c>
      <c r="N41" s="261">
        <v>12</v>
      </c>
      <c r="O41" s="262"/>
      <c r="P41" s="263">
        <v>0.72850000000000004</v>
      </c>
      <c r="Q41" s="263">
        <v>5.1299999999999998E-2</v>
      </c>
      <c r="R41" s="263">
        <v>6.2199999999999998E-2</v>
      </c>
      <c r="S41" s="263">
        <v>0.12180000000000001</v>
      </c>
      <c r="T41" s="263">
        <v>3.61E-2</v>
      </c>
      <c r="U41" s="262"/>
      <c r="V41" s="262"/>
      <c r="W41" s="264">
        <v>2.1000000000000001E-2</v>
      </c>
      <c r="X41" s="262"/>
      <c r="Y41" s="256">
        <v>12</v>
      </c>
      <c r="Z41" s="264">
        <v>1.9E-2</v>
      </c>
      <c r="AA41" s="264"/>
      <c r="AB41" s="262">
        <v>12</v>
      </c>
      <c r="AC41" s="262"/>
      <c r="AD41" s="262"/>
      <c r="AE41" s="262"/>
      <c r="AF41" s="262"/>
      <c r="AG41" s="262"/>
      <c r="AH41" s="140" t="s">
        <v>566</v>
      </c>
      <c r="AI41" s="140">
        <v>13</v>
      </c>
      <c r="AJ41" s="140">
        <v>14687206732</v>
      </c>
      <c r="AK41" s="278">
        <v>0.4612</v>
      </c>
    </row>
    <row r="42" spans="1:37" x14ac:dyDescent="0.2">
      <c r="A42" s="257" t="s">
        <v>567</v>
      </c>
      <c r="B42" s="258">
        <v>277977</v>
      </c>
      <c r="C42" s="258">
        <v>262095</v>
      </c>
      <c r="D42" s="258">
        <v>15882</v>
      </c>
      <c r="E42" s="258">
        <v>120308</v>
      </c>
      <c r="F42" s="258">
        <v>81695</v>
      </c>
      <c r="G42" s="258">
        <v>6586</v>
      </c>
      <c r="H42" s="258">
        <v>9135</v>
      </c>
      <c r="I42" s="258">
        <v>12154</v>
      </c>
      <c r="J42" s="258">
        <v>10738</v>
      </c>
      <c r="K42" s="258">
        <v>103964</v>
      </c>
      <c r="L42" s="259">
        <v>0.13600000000000001</v>
      </c>
      <c r="M42" s="260">
        <v>2.52</v>
      </c>
      <c r="N42" s="261">
        <v>5</v>
      </c>
      <c r="O42" s="262"/>
      <c r="P42" s="263">
        <v>0.67900000000000005</v>
      </c>
      <c r="Q42" s="263">
        <v>5.4699999999999999E-2</v>
      </c>
      <c r="R42" s="263">
        <v>7.5899999999999995E-2</v>
      </c>
      <c r="S42" s="263">
        <v>0.10100000000000001</v>
      </c>
      <c r="T42" s="263">
        <v>8.9300000000000004E-2</v>
      </c>
      <c r="U42" s="262"/>
      <c r="V42" s="262"/>
      <c r="W42" s="264">
        <v>5.7000000000000002E-2</v>
      </c>
      <c r="X42" s="262"/>
      <c r="Y42" s="256">
        <v>5</v>
      </c>
      <c r="Z42" s="264">
        <v>7.0000000000000001E-3</v>
      </c>
      <c r="AA42" s="264"/>
      <c r="AB42" s="262">
        <v>5</v>
      </c>
      <c r="AC42" s="262"/>
      <c r="AD42" s="262"/>
      <c r="AE42" s="262"/>
      <c r="AF42" s="262"/>
      <c r="AG42" s="262"/>
      <c r="AH42" s="140" t="s">
        <v>566</v>
      </c>
      <c r="AI42" s="140">
        <v>14</v>
      </c>
      <c r="AJ42" s="140">
        <v>7209591746</v>
      </c>
      <c r="AK42" s="278">
        <v>0.22639999999999999</v>
      </c>
    </row>
    <row r="43" spans="1:37" x14ac:dyDescent="0.2">
      <c r="A43" s="257" t="s">
        <v>568</v>
      </c>
      <c r="B43" s="258">
        <v>766041</v>
      </c>
      <c r="C43" s="258">
        <v>756837</v>
      </c>
      <c r="D43" s="258">
        <v>9204</v>
      </c>
      <c r="E43" s="258">
        <v>276036</v>
      </c>
      <c r="F43" s="258">
        <v>155947</v>
      </c>
      <c r="G43" s="258">
        <v>25336</v>
      </c>
      <c r="H43" s="258">
        <v>17527</v>
      </c>
      <c r="I43" s="258">
        <v>74060</v>
      </c>
      <c r="J43" s="258">
        <v>3166</v>
      </c>
      <c r="K43" s="258">
        <v>260940</v>
      </c>
      <c r="L43" s="259">
        <v>5.5E-2</v>
      </c>
      <c r="M43" s="260">
        <v>2.9</v>
      </c>
      <c r="N43" s="261">
        <v>3</v>
      </c>
      <c r="O43" s="262"/>
      <c r="P43" s="263">
        <v>0.56499999999999995</v>
      </c>
      <c r="Q43" s="263">
        <v>9.1800000000000007E-2</v>
      </c>
      <c r="R43" s="263">
        <v>6.3500000000000001E-2</v>
      </c>
      <c r="S43" s="263">
        <v>0.26829999999999998</v>
      </c>
      <c r="T43" s="263">
        <v>1.15E-2</v>
      </c>
      <c r="U43" s="262"/>
      <c r="V43" s="262"/>
      <c r="W43" s="264">
        <v>1.2E-2</v>
      </c>
      <c r="X43" s="262"/>
      <c r="Y43" s="256">
        <v>3</v>
      </c>
      <c r="Z43" s="264">
        <v>0.02</v>
      </c>
      <c r="AA43" s="264"/>
      <c r="AB43" s="262">
        <v>3</v>
      </c>
      <c r="AC43" s="262"/>
      <c r="AD43" s="262"/>
      <c r="AE43" s="262"/>
      <c r="AF43" s="262"/>
      <c r="AG43" s="262"/>
      <c r="AH43" s="140" t="s">
        <v>566</v>
      </c>
      <c r="AI43" s="140">
        <v>16</v>
      </c>
      <c r="AJ43" s="140">
        <v>9947487602</v>
      </c>
      <c r="AK43" s="278">
        <v>0.31240000000000001</v>
      </c>
    </row>
    <row r="44" spans="1:37" x14ac:dyDescent="0.2">
      <c r="A44" s="257" t="s">
        <v>569</v>
      </c>
      <c r="B44" s="258">
        <v>446717</v>
      </c>
      <c r="C44" s="258">
        <v>427849</v>
      </c>
      <c r="D44" s="258">
        <v>18868</v>
      </c>
      <c r="E44" s="258">
        <v>156520</v>
      </c>
      <c r="F44" s="258">
        <v>91471</v>
      </c>
      <c r="G44" s="258">
        <v>10444</v>
      </c>
      <c r="H44" s="258">
        <v>15077</v>
      </c>
      <c r="I44" s="258">
        <v>31506</v>
      </c>
      <c r="J44" s="258">
        <v>8022</v>
      </c>
      <c r="K44" s="258">
        <v>145757</v>
      </c>
      <c r="L44" s="259">
        <v>6.9000000000000006E-2</v>
      </c>
      <c r="M44" s="260">
        <v>2.94</v>
      </c>
      <c r="N44" s="261">
        <v>5</v>
      </c>
      <c r="O44" s="262"/>
      <c r="P44" s="263">
        <v>0.58440000000000003</v>
      </c>
      <c r="Q44" s="263">
        <v>6.6699999999999995E-2</v>
      </c>
      <c r="R44" s="263">
        <v>9.6299999999999997E-2</v>
      </c>
      <c r="S44" s="263">
        <v>0.20130000000000001</v>
      </c>
      <c r="T44" s="263">
        <v>5.1299999999999998E-2</v>
      </c>
      <c r="U44" s="262"/>
      <c r="V44" s="262"/>
      <c r="W44" s="264">
        <v>4.2000000000000003E-2</v>
      </c>
      <c r="X44" s="262"/>
      <c r="Y44" s="256">
        <v>5</v>
      </c>
      <c r="Z44" s="264">
        <v>1.0999999999999999E-2</v>
      </c>
      <c r="AA44" s="264"/>
      <c r="AB44" s="262">
        <v>5</v>
      </c>
      <c r="AC44" s="262"/>
      <c r="AD44" s="262"/>
      <c r="AE44" s="262"/>
      <c r="AF44" s="262"/>
      <c r="AG44" s="262"/>
      <c r="AH44" s="140" t="s">
        <v>566</v>
      </c>
      <c r="AI44" s="140">
        <v>4</v>
      </c>
      <c r="AJ44" s="140">
        <v>1137711</v>
      </c>
      <c r="AK44" s="278">
        <v>0</v>
      </c>
    </row>
    <row r="45" spans="1:37" x14ac:dyDescent="0.2">
      <c r="A45" s="257" t="s">
        <v>570</v>
      </c>
      <c r="B45" s="258">
        <v>1927888</v>
      </c>
      <c r="C45" s="258">
        <v>1897431</v>
      </c>
      <c r="D45" s="258">
        <v>30457</v>
      </c>
      <c r="E45" s="258">
        <v>657360</v>
      </c>
      <c r="F45" s="258">
        <v>348976</v>
      </c>
      <c r="G45" s="258">
        <v>63014</v>
      </c>
      <c r="H45" s="258">
        <v>49129</v>
      </c>
      <c r="I45" s="258">
        <v>177196</v>
      </c>
      <c r="J45" s="258">
        <v>19045</v>
      </c>
      <c r="K45" s="258">
        <v>628087</v>
      </c>
      <c r="L45" s="259">
        <v>4.4999999999999998E-2</v>
      </c>
      <c r="M45" s="260">
        <v>3.02</v>
      </c>
      <c r="N45" s="261">
        <v>4</v>
      </c>
      <c r="O45" s="262"/>
      <c r="P45" s="263">
        <v>0.53090000000000004</v>
      </c>
      <c r="Q45" s="263">
        <v>9.5899999999999999E-2</v>
      </c>
      <c r="R45" s="263">
        <v>7.4700000000000003E-2</v>
      </c>
      <c r="S45" s="263">
        <v>0.26960000000000001</v>
      </c>
      <c r="T45" s="263">
        <v>2.9000000000000001E-2</v>
      </c>
      <c r="U45" s="262"/>
      <c r="V45" s="262"/>
      <c r="W45" s="264">
        <v>1.6E-2</v>
      </c>
      <c r="X45" s="262"/>
      <c r="Y45" s="256">
        <v>4</v>
      </c>
      <c r="Z45" s="264">
        <v>4.9000000000000002E-2</v>
      </c>
      <c r="AA45" s="264"/>
      <c r="AB45" s="262">
        <v>4</v>
      </c>
      <c r="AC45" s="262"/>
      <c r="AD45" s="262"/>
      <c r="AE45" s="262"/>
      <c r="AF45" s="262"/>
      <c r="AG45" s="262"/>
      <c r="AH45" s="140" t="s">
        <v>571</v>
      </c>
      <c r="AI45" s="140">
        <v>13</v>
      </c>
      <c r="AJ45" s="140">
        <v>5528421490</v>
      </c>
      <c r="AK45" s="278">
        <v>1</v>
      </c>
    </row>
    <row r="46" spans="1:37" x14ac:dyDescent="0.2">
      <c r="A46" s="257" t="s">
        <v>572</v>
      </c>
      <c r="B46" s="258">
        <v>275902</v>
      </c>
      <c r="C46" s="258">
        <v>262066</v>
      </c>
      <c r="D46" s="258">
        <v>13836</v>
      </c>
      <c r="E46" s="258">
        <v>105380</v>
      </c>
      <c r="F46" s="258">
        <v>66450</v>
      </c>
      <c r="G46" s="258">
        <v>9470</v>
      </c>
      <c r="H46" s="258">
        <v>9658</v>
      </c>
      <c r="I46" s="258">
        <v>12882</v>
      </c>
      <c r="J46" s="258">
        <v>6920</v>
      </c>
      <c r="K46" s="258">
        <v>97163</v>
      </c>
      <c r="L46" s="259">
        <v>7.8E-2</v>
      </c>
      <c r="M46" s="260">
        <v>2.7</v>
      </c>
      <c r="N46" s="261">
        <v>3</v>
      </c>
      <c r="O46" s="262"/>
      <c r="P46" s="263">
        <v>0.63060000000000005</v>
      </c>
      <c r="Q46" s="263">
        <v>8.9899999999999994E-2</v>
      </c>
      <c r="R46" s="263">
        <v>9.1600000000000001E-2</v>
      </c>
      <c r="S46" s="263">
        <v>0.1222</v>
      </c>
      <c r="T46" s="263">
        <v>6.5699999999999995E-2</v>
      </c>
      <c r="U46" s="262"/>
      <c r="V46" s="262"/>
      <c r="W46" s="264">
        <v>0.05</v>
      </c>
      <c r="X46" s="262"/>
      <c r="Y46" s="256">
        <v>3</v>
      </c>
      <c r="Z46" s="264">
        <v>7.0000000000000001E-3</v>
      </c>
      <c r="AA46" s="264"/>
      <c r="AB46" s="262">
        <v>3</v>
      </c>
      <c r="AC46" s="262"/>
      <c r="AD46" s="262"/>
      <c r="AE46" s="262"/>
      <c r="AF46" s="262"/>
      <c r="AG46" s="262"/>
      <c r="AH46" s="140" t="s">
        <v>571</v>
      </c>
      <c r="AI46" s="140">
        <v>4</v>
      </c>
      <c r="AJ46" s="140">
        <v>145171</v>
      </c>
      <c r="AK46" s="278">
        <v>0</v>
      </c>
    </row>
    <row r="47" spans="1:37" x14ac:dyDescent="0.2">
      <c r="A47" s="257" t="s">
        <v>573</v>
      </c>
      <c r="B47" s="258">
        <v>178592</v>
      </c>
      <c r="C47" s="258">
        <v>175737</v>
      </c>
      <c r="D47" s="258">
        <v>2855</v>
      </c>
      <c r="E47" s="258">
        <v>78379</v>
      </c>
      <c r="F47" s="258">
        <v>54189</v>
      </c>
      <c r="G47" s="258">
        <v>2739</v>
      </c>
      <c r="H47" s="258">
        <v>5811</v>
      </c>
      <c r="I47" s="258">
        <v>6813</v>
      </c>
      <c r="J47" s="258">
        <v>8827</v>
      </c>
      <c r="K47" s="258">
        <v>70426</v>
      </c>
      <c r="L47" s="259">
        <v>0.10100000000000001</v>
      </c>
      <c r="M47" s="260">
        <v>2.5</v>
      </c>
      <c r="N47" s="261">
        <v>11</v>
      </c>
      <c r="O47" s="262"/>
      <c r="P47" s="263">
        <v>0.69140000000000001</v>
      </c>
      <c r="Q47" s="263">
        <v>3.49E-2</v>
      </c>
      <c r="R47" s="263">
        <v>7.4099999999999999E-2</v>
      </c>
      <c r="S47" s="263">
        <v>8.6900000000000005E-2</v>
      </c>
      <c r="T47" s="263">
        <v>0.11260000000000001</v>
      </c>
      <c r="U47" s="262"/>
      <c r="V47" s="262"/>
      <c r="W47" s="264">
        <v>1.6E-2</v>
      </c>
      <c r="X47" s="262"/>
      <c r="Y47" s="256" t="s">
        <v>504</v>
      </c>
      <c r="Z47" s="264">
        <v>5.0000000000000001E-3</v>
      </c>
      <c r="AA47" s="264">
        <v>2E-3</v>
      </c>
      <c r="AB47" s="262">
        <v>11</v>
      </c>
      <c r="AC47" s="262"/>
      <c r="AD47" s="262"/>
      <c r="AE47" s="262"/>
      <c r="AF47" s="262"/>
      <c r="AG47" s="262"/>
      <c r="AH47" s="140" t="s">
        <v>574</v>
      </c>
      <c r="AI47" s="140">
        <v>11</v>
      </c>
      <c r="AJ47" s="140">
        <v>2732140</v>
      </c>
      <c r="AK47" s="278">
        <v>5.0000000000000001E-4</v>
      </c>
    </row>
    <row r="48" spans="1:37" x14ac:dyDescent="0.2">
      <c r="A48" s="273" t="s">
        <v>575</v>
      </c>
      <c r="B48" s="258">
        <v>3203</v>
      </c>
      <c r="C48" s="258">
        <v>3170</v>
      </c>
      <c r="D48" s="258">
        <v>33</v>
      </c>
      <c r="E48" s="258">
        <v>2339</v>
      </c>
      <c r="F48" s="258">
        <v>2110</v>
      </c>
      <c r="G48" s="258">
        <v>24</v>
      </c>
      <c r="H48" s="258">
        <v>33</v>
      </c>
      <c r="I48" s="258">
        <v>73</v>
      </c>
      <c r="J48" s="258">
        <v>99</v>
      </c>
      <c r="K48" s="258">
        <v>1432</v>
      </c>
      <c r="L48" s="259">
        <v>0.38800000000000001</v>
      </c>
      <c r="M48" s="260">
        <v>2.21</v>
      </c>
      <c r="N48" s="261">
        <v>16</v>
      </c>
      <c r="O48" s="262"/>
      <c r="P48" s="263">
        <v>0.90210000000000001</v>
      </c>
      <c r="Q48" s="263">
        <v>1.03E-2</v>
      </c>
      <c r="R48" s="263">
        <v>1.41E-2</v>
      </c>
      <c r="S48" s="263">
        <v>3.1199999999999999E-2</v>
      </c>
      <c r="T48" s="263">
        <v>4.2299999999999997E-2</v>
      </c>
      <c r="U48" s="274"/>
      <c r="V48" s="274"/>
      <c r="W48" s="264">
        <v>0.01</v>
      </c>
      <c r="X48" s="274"/>
      <c r="Y48" s="256">
        <v>16</v>
      </c>
      <c r="Z48" s="264">
        <v>0</v>
      </c>
      <c r="AA48" s="264"/>
      <c r="AB48" s="274">
        <v>16</v>
      </c>
      <c r="AC48" s="274"/>
      <c r="AD48" s="274"/>
      <c r="AE48" s="274"/>
      <c r="AF48" s="274"/>
      <c r="AG48" s="274"/>
      <c r="AH48" s="140" t="s">
        <v>574</v>
      </c>
      <c r="AI48" s="140">
        <v>12</v>
      </c>
      <c r="AJ48" s="140">
        <v>771362</v>
      </c>
      <c r="AK48" s="278">
        <v>1E-4</v>
      </c>
    </row>
    <row r="49" spans="1:37" x14ac:dyDescent="0.2">
      <c r="A49" s="257" t="s">
        <v>576</v>
      </c>
      <c r="B49" s="258">
        <v>44739</v>
      </c>
      <c r="C49" s="258">
        <v>44170</v>
      </c>
      <c r="D49" s="258">
        <v>569</v>
      </c>
      <c r="E49" s="258">
        <v>24026</v>
      </c>
      <c r="F49" s="258">
        <v>16651</v>
      </c>
      <c r="G49" s="258">
        <v>572</v>
      </c>
      <c r="H49" s="258">
        <v>1523</v>
      </c>
      <c r="I49" s="258">
        <v>1718</v>
      </c>
      <c r="J49" s="258">
        <v>3562</v>
      </c>
      <c r="K49" s="258">
        <v>19351</v>
      </c>
      <c r="L49" s="259">
        <v>0.19500000000000001</v>
      </c>
      <c r="M49" s="260">
        <v>2.2799999999999998</v>
      </c>
      <c r="N49" s="261">
        <v>16</v>
      </c>
      <c r="O49" s="262"/>
      <c r="P49" s="263">
        <v>0.69299999999999995</v>
      </c>
      <c r="Q49" s="263">
        <v>2.3800000000000002E-2</v>
      </c>
      <c r="R49" s="263">
        <v>6.3399999999999998E-2</v>
      </c>
      <c r="S49" s="263">
        <v>7.1499999999999994E-2</v>
      </c>
      <c r="T49" s="263">
        <v>0.14829999999999999</v>
      </c>
      <c r="U49" s="262"/>
      <c r="V49" s="262"/>
      <c r="W49" s="264">
        <v>1.2999999999999999E-2</v>
      </c>
      <c r="X49" s="262"/>
      <c r="Y49" s="256">
        <v>16</v>
      </c>
      <c r="Z49" s="264">
        <v>1E-3</v>
      </c>
      <c r="AA49" s="264">
        <v>1E-3</v>
      </c>
      <c r="AB49" s="274">
        <v>16</v>
      </c>
      <c r="AC49" s="262"/>
      <c r="AD49" s="262"/>
      <c r="AE49" s="262"/>
      <c r="AF49" s="262"/>
      <c r="AG49" s="262"/>
      <c r="AH49" s="140" t="s">
        <v>574</v>
      </c>
      <c r="AI49" s="140">
        <v>16</v>
      </c>
      <c r="AJ49" s="140">
        <v>1170591</v>
      </c>
      <c r="AK49" s="278">
        <v>2.0000000000000001E-4</v>
      </c>
    </row>
    <row r="50" spans="1:37" x14ac:dyDescent="0.2">
      <c r="A50" s="257" t="s">
        <v>577</v>
      </c>
      <c r="B50" s="258">
        <v>431498</v>
      </c>
      <c r="C50" s="258">
        <v>420265</v>
      </c>
      <c r="D50" s="258">
        <v>11233</v>
      </c>
      <c r="E50" s="258">
        <v>156375</v>
      </c>
      <c r="F50" s="258">
        <v>112202</v>
      </c>
      <c r="G50" s="258">
        <v>6583</v>
      </c>
      <c r="H50" s="258">
        <v>11264</v>
      </c>
      <c r="I50" s="258">
        <v>21737</v>
      </c>
      <c r="J50" s="258">
        <v>4589</v>
      </c>
      <c r="K50" s="258">
        <v>147821</v>
      </c>
      <c r="L50" s="259">
        <v>5.5E-2</v>
      </c>
      <c r="M50" s="260">
        <v>2.84</v>
      </c>
      <c r="N50" s="261">
        <v>12</v>
      </c>
      <c r="O50" s="262"/>
      <c r="P50" s="263">
        <v>0.71750000000000003</v>
      </c>
      <c r="Q50" s="263">
        <v>4.2099999999999999E-2</v>
      </c>
      <c r="R50" s="263">
        <v>7.1999999999999995E-2</v>
      </c>
      <c r="S50" s="263">
        <v>0.13900000000000001</v>
      </c>
      <c r="T50" s="263">
        <v>2.93E-2</v>
      </c>
      <c r="U50" s="262"/>
      <c r="V50" s="262"/>
      <c r="W50" s="264">
        <v>2.5999999999999999E-2</v>
      </c>
      <c r="X50" s="262"/>
      <c r="Y50" s="256">
        <v>12</v>
      </c>
      <c r="Z50" s="264">
        <v>1.0999999999999999E-2</v>
      </c>
      <c r="AA50" s="264"/>
      <c r="AB50" s="274">
        <v>12</v>
      </c>
      <c r="AC50" s="262"/>
      <c r="AD50" s="262"/>
      <c r="AE50" s="262"/>
      <c r="AF50" s="262"/>
      <c r="AG50" s="262"/>
      <c r="AH50" s="140" t="s">
        <v>574</v>
      </c>
      <c r="AI50" s="140">
        <v>2</v>
      </c>
      <c r="AJ50" s="140">
        <v>5720580912</v>
      </c>
      <c r="AK50" s="278">
        <v>0.99919999999999998</v>
      </c>
    </row>
    <row r="51" spans="1:37" x14ac:dyDescent="0.2">
      <c r="A51" s="257" t="s">
        <v>578</v>
      </c>
      <c r="B51" s="283">
        <v>501959</v>
      </c>
      <c r="C51" s="283">
        <v>491560</v>
      </c>
      <c r="D51" s="283">
        <v>10399</v>
      </c>
      <c r="E51" s="283">
        <v>207406</v>
      </c>
      <c r="F51" s="283">
        <v>141957</v>
      </c>
      <c r="G51" s="283">
        <v>14479</v>
      </c>
      <c r="H51" s="283">
        <v>13527</v>
      </c>
      <c r="I51" s="283">
        <v>26002</v>
      </c>
      <c r="J51" s="283">
        <v>11441</v>
      </c>
      <c r="K51" s="283">
        <v>192101</v>
      </c>
      <c r="L51" s="284">
        <v>7.3999999999999996E-2</v>
      </c>
      <c r="M51" s="285">
        <v>2.56</v>
      </c>
      <c r="N51" s="286">
        <v>2</v>
      </c>
      <c r="O51" s="262"/>
      <c r="P51" s="263">
        <v>0.68440000000000001</v>
      </c>
      <c r="Q51" s="263">
        <v>6.9800000000000001E-2</v>
      </c>
      <c r="R51" s="263">
        <v>6.5199999999999994E-2</v>
      </c>
      <c r="S51" s="263">
        <v>0.12540000000000001</v>
      </c>
      <c r="T51" s="263">
        <v>5.5199999999999999E-2</v>
      </c>
      <c r="U51" s="262"/>
      <c r="V51" s="262"/>
      <c r="W51" s="264">
        <v>2.1000000000000001E-2</v>
      </c>
      <c r="X51" s="262"/>
      <c r="Y51" s="256">
        <v>1</v>
      </c>
      <c r="Z51" s="264">
        <v>1.2999999999999999E-2</v>
      </c>
      <c r="AA51" s="264"/>
      <c r="AB51" s="274">
        <v>1</v>
      </c>
      <c r="AC51" s="262"/>
      <c r="AD51" s="262"/>
      <c r="AE51" s="262"/>
      <c r="AF51" s="262"/>
      <c r="AG51" s="262"/>
      <c r="AH51" s="140" t="s">
        <v>579</v>
      </c>
      <c r="AI51" s="140">
        <v>16</v>
      </c>
      <c r="AJ51" s="140">
        <v>21275567620</v>
      </c>
      <c r="AK51" s="278">
        <v>1</v>
      </c>
    </row>
    <row r="52" spans="1:37" x14ac:dyDescent="0.2">
      <c r="A52" s="257" t="s">
        <v>580</v>
      </c>
      <c r="B52" s="258">
        <v>540214</v>
      </c>
      <c r="C52" s="258">
        <v>533775</v>
      </c>
      <c r="D52" s="258">
        <v>6439</v>
      </c>
      <c r="E52" s="258">
        <v>180777</v>
      </c>
      <c r="F52" s="258">
        <v>134923</v>
      </c>
      <c r="G52" s="258">
        <v>7487</v>
      </c>
      <c r="H52" s="258">
        <v>12400</v>
      </c>
      <c r="I52" s="258">
        <v>17370</v>
      </c>
      <c r="J52" s="258">
        <v>8597</v>
      </c>
      <c r="K52" s="258">
        <v>168204</v>
      </c>
      <c r="L52" s="259">
        <v>7.0000000000000007E-2</v>
      </c>
      <c r="M52" s="260">
        <v>3.17</v>
      </c>
      <c r="N52" s="261">
        <v>12</v>
      </c>
      <c r="O52" s="262"/>
      <c r="P52" s="263">
        <v>0.74639999999999995</v>
      </c>
      <c r="Q52" s="263">
        <v>4.1399999999999999E-2</v>
      </c>
      <c r="R52" s="263">
        <v>6.8599999999999994E-2</v>
      </c>
      <c r="S52" s="263">
        <v>9.6100000000000005E-2</v>
      </c>
      <c r="T52" s="263">
        <v>4.7600000000000003E-2</v>
      </c>
      <c r="U52" s="262"/>
      <c r="V52" s="262"/>
      <c r="W52" s="264">
        <v>1.2E-2</v>
      </c>
      <c r="X52" s="262"/>
      <c r="Y52" s="256">
        <v>12</v>
      </c>
      <c r="Z52" s="264">
        <v>1.4E-2</v>
      </c>
      <c r="AA52" s="264"/>
      <c r="AB52" s="274">
        <v>12</v>
      </c>
      <c r="AC52" s="262"/>
      <c r="AD52" s="262"/>
      <c r="AE52" s="262"/>
      <c r="AF52" s="262"/>
      <c r="AG52" s="262"/>
      <c r="AH52" s="140" t="s">
        <v>581</v>
      </c>
      <c r="AI52" s="140">
        <v>10</v>
      </c>
      <c r="AJ52" s="140">
        <v>360132</v>
      </c>
      <c r="AK52" s="278">
        <v>0</v>
      </c>
    </row>
    <row r="53" spans="1:37" x14ac:dyDescent="0.2">
      <c r="A53" s="257" t="s">
        <v>582</v>
      </c>
      <c r="B53" s="258">
        <v>97308</v>
      </c>
      <c r="C53" s="258">
        <v>96546</v>
      </c>
      <c r="D53" s="258">
        <v>762</v>
      </c>
      <c r="E53" s="258">
        <v>34205</v>
      </c>
      <c r="F53" s="258">
        <v>24436</v>
      </c>
      <c r="G53" s="258">
        <v>1444</v>
      </c>
      <c r="H53" s="258">
        <v>2217</v>
      </c>
      <c r="I53" s="258">
        <v>4587</v>
      </c>
      <c r="J53" s="258">
        <v>1521</v>
      </c>
      <c r="K53" s="258">
        <v>31504</v>
      </c>
      <c r="L53" s="259">
        <v>7.9000000000000001E-2</v>
      </c>
      <c r="M53" s="260">
        <v>3.06</v>
      </c>
      <c r="N53" s="261">
        <v>11</v>
      </c>
      <c r="O53" s="262"/>
      <c r="P53" s="263">
        <v>0.71440000000000003</v>
      </c>
      <c r="Q53" s="263">
        <v>4.2200000000000001E-2</v>
      </c>
      <c r="R53" s="263">
        <v>6.4799999999999996E-2</v>
      </c>
      <c r="S53" s="263">
        <v>0.1341</v>
      </c>
      <c r="T53" s="263">
        <v>4.4499999999999998E-2</v>
      </c>
      <c r="U53" s="262"/>
      <c r="V53" s="262"/>
      <c r="W53" s="264">
        <v>8.0000000000000002E-3</v>
      </c>
      <c r="X53" s="262"/>
      <c r="Y53" s="256">
        <v>11</v>
      </c>
      <c r="Z53" s="264">
        <v>2E-3</v>
      </c>
      <c r="AA53" s="264"/>
      <c r="AB53" s="274">
        <v>11</v>
      </c>
      <c r="AC53" s="262"/>
      <c r="AD53" s="262"/>
      <c r="AE53" s="262"/>
      <c r="AF53" s="262"/>
      <c r="AG53" s="262"/>
      <c r="AH53" s="140" t="s">
        <v>581</v>
      </c>
      <c r="AI53" s="140">
        <v>14</v>
      </c>
      <c r="AJ53" s="140">
        <v>4593567479</v>
      </c>
      <c r="AK53" s="278">
        <v>0.30480000000000002</v>
      </c>
    </row>
    <row r="54" spans="1:37" x14ac:dyDescent="0.2">
      <c r="A54" s="257" t="s">
        <v>583</v>
      </c>
      <c r="B54" s="258">
        <v>63934</v>
      </c>
      <c r="C54" s="258">
        <v>63070</v>
      </c>
      <c r="D54" s="258">
        <v>864</v>
      </c>
      <c r="E54" s="258">
        <v>27448</v>
      </c>
      <c r="F54" s="258">
        <v>17647</v>
      </c>
      <c r="G54" s="258">
        <v>448</v>
      </c>
      <c r="H54" s="258">
        <v>1384</v>
      </c>
      <c r="I54" s="258">
        <v>1734</v>
      </c>
      <c r="J54" s="258">
        <v>6235</v>
      </c>
      <c r="K54" s="258">
        <v>23929</v>
      </c>
      <c r="L54" s="259">
        <v>0.128</v>
      </c>
      <c r="M54" s="260">
        <v>2.64</v>
      </c>
      <c r="N54" s="261">
        <v>16</v>
      </c>
      <c r="O54" s="262"/>
      <c r="P54" s="263">
        <v>0.64290000000000003</v>
      </c>
      <c r="Q54" s="263">
        <v>1.6299999999999999E-2</v>
      </c>
      <c r="R54" s="263">
        <v>5.04E-2</v>
      </c>
      <c r="S54" s="263">
        <v>6.3200000000000006E-2</v>
      </c>
      <c r="T54" s="263">
        <v>0.22720000000000001</v>
      </c>
      <c r="U54" s="262"/>
      <c r="V54" s="262"/>
      <c r="W54" s="264">
        <v>1.4E-2</v>
      </c>
      <c r="X54" s="262"/>
      <c r="Y54" s="256">
        <v>16</v>
      </c>
      <c r="Z54" s="264">
        <v>2E-3</v>
      </c>
      <c r="AA54" s="264">
        <v>2E-3</v>
      </c>
      <c r="AB54" s="274">
        <v>16</v>
      </c>
      <c r="AC54" s="262"/>
      <c r="AD54" s="262"/>
      <c r="AE54" s="262"/>
      <c r="AF54" s="262"/>
      <c r="AG54" s="262"/>
      <c r="AH54" s="140" t="s">
        <v>581</v>
      </c>
      <c r="AI54" s="140">
        <v>16</v>
      </c>
      <c r="AJ54" s="140">
        <v>4330633554</v>
      </c>
      <c r="AK54" s="278">
        <v>0.28739999999999999</v>
      </c>
    </row>
    <row r="55" spans="1:37" x14ac:dyDescent="0.2">
      <c r="A55" s="267" t="s">
        <v>584</v>
      </c>
      <c r="B55" s="258">
        <v>13667</v>
      </c>
      <c r="C55" s="258">
        <v>13280</v>
      </c>
      <c r="D55" s="258">
        <v>387</v>
      </c>
      <c r="E55" s="258">
        <v>8765</v>
      </c>
      <c r="F55" s="258">
        <v>5827</v>
      </c>
      <c r="G55" s="258">
        <v>117</v>
      </c>
      <c r="H55" s="258">
        <v>347</v>
      </c>
      <c r="I55" s="258">
        <v>269</v>
      </c>
      <c r="J55" s="258">
        <v>2205</v>
      </c>
      <c r="K55" s="258">
        <v>5796</v>
      </c>
      <c r="L55" s="259">
        <v>0.33900000000000002</v>
      </c>
      <c r="M55" s="260">
        <v>2.29</v>
      </c>
      <c r="N55" s="261">
        <v>16</v>
      </c>
      <c r="O55" s="262"/>
      <c r="P55" s="263">
        <v>0.66479999999999995</v>
      </c>
      <c r="Q55" s="263">
        <v>1.3299999999999999E-2</v>
      </c>
      <c r="R55" s="263">
        <v>3.9600000000000003E-2</v>
      </c>
      <c r="S55" s="263">
        <v>3.0700000000000002E-2</v>
      </c>
      <c r="T55" s="263">
        <v>0.25159999999999999</v>
      </c>
      <c r="U55" s="262"/>
      <c r="V55" s="262"/>
      <c r="W55" s="264">
        <v>2.8000000000000001E-2</v>
      </c>
      <c r="X55" s="262"/>
      <c r="Y55" s="256">
        <v>16</v>
      </c>
      <c r="Z55" s="264">
        <v>0</v>
      </c>
      <c r="AA55" s="264">
        <v>0</v>
      </c>
      <c r="AB55" s="274">
        <v>16</v>
      </c>
      <c r="AC55" s="262"/>
      <c r="AD55" s="262"/>
      <c r="AE55" s="262"/>
      <c r="AF55" s="262"/>
      <c r="AG55" s="262"/>
      <c r="AH55" s="140" t="s">
        <v>581</v>
      </c>
      <c r="AI55" s="140">
        <v>6</v>
      </c>
      <c r="AJ55" s="140">
        <v>1249365664</v>
      </c>
      <c r="AK55" s="278">
        <v>8.2900000000000001E-2</v>
      </c>
    </row>
    <row r="56" spans="1:37" x14ac:dyDescent="0.2">
      <c r="A56" s="257" t="s">
        <v>585</v>
      </c>
      <c r="B56" s="258">
        <v>466339</v>
      </c>
      <c r="C56" s="258">
        <v>461529</v>
      </c>
      <c r="D56" s="258">
        <v>4810</v>
      </c>
      <c r="E56" s="258">
        <v>146949</v>
      </c>
      <c r="F56" s="258">
        <v>111186</v>
      </c>
      <c r="G56" s="258">
        <v>3925</v>
      </c>
      <c r="H56" s="258">
        <v>12131</v>
      </c>
      <c r="I56" s="258">
        <v>9106</v>
      </c>
      <c r="J56" s="258">
        <v>10601</v>
      </c>
      <c r="K56" s="258">
        <v>134564</v>
      </c>
      <c r="L56" s="259">
        <v>8.4000000000000005E-2</v>
      </c>
      <c r="M56" s="260">
        <v>3.43</v>
      </c>
      <c r="N56" s="261">
        <v>13</v>
      </c>
      <c r="O56" s="262"/>
      <c r="P56" s="263">
        <v>0.75660000000000005</v>
      </c>
      <c r="Q56" s="263">
        <v>2.6700000000000002E-2</v>
      </c>
      <c r="R56" s="263">
        <v>8.2600000000000007E-2</v>
      </c>
      <c r="S56" s="263">
        <v>6.2E-2</v>
      </c>
      <c r="T56" s="263">
        <v>7.2099999999999997E-2</v>
      </c>
      <c r="U56" s="262"/>
      <c r="V56" s="262"/>
      <c r="W56" s="264">
        <v>0.01</v>
      </c>
      <c r="X56" s="262"/>
      <c r="Y56" s="256" t="s">
        <v>586</v>
      </c>
      <c r="Z56" s="264">
        <v>1.2E-2</v>
      </c>
      <c r="AA56" s="264">
        <v>6.0000000000000001E-3</v>
      </c>
      <c r="AB56" s="274">
        <v>13</v>
      </c>
      <c r="AC56" s="262"/>
      <c r="AD56" s="262"/>
      <c r="AE56" s="262"/>
      <c r="AF56" s="262"/>
      <c r="AG56" s="262"/>
      <c r="AH56" s="140" t="s">
        <v>581</v>
      </c>
      <c r="AI56" s="140">
        <v>8</v>
      </c>
      <c r="AJ56" s="140">
        <v>842245060</v>
      </c>
      <c r="AK56" s="278">
        <v>5.5899999999999998E-2</v>
      </c>
    </row>
    <row r="57" spans="1:37" x14ac:dyDescent="0.2">
      <c r="A57" s="257" t="s">
        <v>587</v>
      </c>
      <c r="B57" s="258">
        <v>54900</v>
      </c>
      <c r="C57" s="258">
        <v>51334</v>
      </c>
      <c r="D57" s="258">
        <v>3566</v>
      </c>
      <c r="E57" s="258">
        <v>31432</v>
      </c>
      <c r="F57" s="258">
        <v>25043</v>
      </c>
      <c r="G57" s="258">
        <v>294</v>
      </c>
      <c r="H57" s="258">
        <v>1232</v>
      </c>
      <c r="I57" s="258">
        <v>1428</v>
      </c>
      <c r="J57" s="258">
        <v>3435</v>
      </c>
      <c r="K57" s="258">
        <v>22290</v>
      </c>
      <c r="L57" s="259">
        <v>0.29099999999999998</v>
      </c>
      <c r="M57" s="260">
        <v>2.2999999999999998</v>
      </c>
      <c r="N57" s="261">
        <v>16</v>
      </c>
      <c r="O57" s="262"/>
      <c r="P57" s="263">
        <v>0.79669999999999996</v>
      </c>
      <c r="Q57" s="263">
        <v>9.4000000000000004E-3</v>
      </c>
      <c r="R57" s="263">
        <v>3.9199999999999999E-2</v>
      </c>
      <c r="S57" s="263">
        <v>4.5400000000000003E-2</v>
      </c>
      <c r="T57" s="263">
        <v>0.10929999999999999</v>
      </c>
      <c r="U57" s="262"/>
      <c r="V57" s="262"/>
      <c r="W57" s="264">
        <v>6.5000000000000002E-2</v>
      </c>
      <c r="X57" s="262"/>
      <c r="Y57" s="256">
        <v>16</v>
      </c>
      <c r="Z57" s="264">
        <v>1E-3</v>
      </c>
      <c r="AA57" s="264">
        <v>1E-3</v>
      </c>
      <c r="AB57" s="274">
        <v>16</v>
      </c>
      <c r="AC57" s="262"/>
      <c r="AD57" s="262"/>
      <c r="AE57" s="262"/>
      <c r="AF57" s="262"/>
      <c r="AG57" s="262"/>
      <c r="AH57" s="140" t="s">
        <v>581</v>
      </c>
      <c r="AI57" s="140">
        <v>9</v>
      </c>
      <c r="AJ57" s="140">
        <v>4054806424</v>
      </c>
      <c r="AK57" s="278">
        <v>0.26910000000000001</v>
      </c>
    </row>
    <row r="58" spans="1:37" x14ac:dyDescent="0.2">
      <c r="A58" s="257" t="s">
        <v>588</v>
      </c>
      <c r="B58" s="258">
        <v>856508</v>
      </c>
      <c r="C58" s="258">
        <v>845338</v>
      </c>
      <c r="D58" s="258">
        <v>11170</v>
      </c>
      <c r="E58" s="258">
        <v>287080</v>
      </c>
      <c r="F58" s="258">
        <v>184141</v>
      </c>
      <c r="G58" s="258">
        <v>31259</v>
      </c>
      <c r="H58" s="258">
        <v>15886</v>
      </c>
      <c r="I58" s="258">
        <v>44444</v>
      </c>
      <c r="J58" s="258">
        <v>11350</v>
      </c>
      <c r="K58" s="258">
        <v>273286</v>
      </c>
      <c r="L58" s="259">
        <v>4.8000000000000001E-2</v>
      </c>
      <c r="M58" s="260">
        <v>3.09</v>
      </c>
      <c r="N58" s="261">
        <v>9</v>
      </c>
      <c r="O58" s="262"/>
      <c r="P58" s="263">
        <v>0.64139999999999997</v>
      </c>
      <c r="Q58" s="263">
        <v>0.1089</v>
      </c>
      <c r="R58" s="263">
        <v>5.5300000000000002E-2</v>
      </c>
      <c r="S58" s="263">
        <v>0.15479999999999999</v>
      </c>
      <c r="T58" s="263">
        <v>3.95E-2</v>
      </c>
      <c r="U58" s="262"/>
      <c r="V58" s="262"/>
      <c r="W58" s="264">
        <v>1.2999999999999999E-2</v>
      </c>
      <c r="X58" s="262"/>
      <c r="Y58" s="256" t="s">
        <v>589</v>
      </c>
      <c r="Z58" s="264">
        <v>2.1999999999999999E-2</v>
      </c>
      <c r="AA58" s="264">
        <v>7.0000000000000001E-3</v>
      </c>
      <c r="AB58" s="274" t="s">
        <v>589</v>
      </c>
      <c r="AC58" s="262"/>
      <c r="AD58" s="262"/>
      <c r="AE58" s="262"/>
      <c r="AF58" s="262"/>
      <c r="AG58" s="262"/>
      <c r="AH58" s="140" t="s">
        <v>590</v>
      </c>
      <c r="AI58" s="140">
        <v>12</v>
      </c>
      <c r="AJ58" s="140">
        <v>460268</v>
      </c>
      <c r="AK58" s="278">
        <v>1E-4</v>
      </c>
    </row>
    <row r="59" spans="1:37" x14ac:dyDescent="0.2">
      <c r="A59" s="257" t="s">
        <v>591</v>
      </c>
      <c r="B59" s="258">
        <v>214555</v>
      </c>
      <c r="C59" s="258">
        <v>202726</v>
      </c>
      <c r="D59" s="258">
        <v>11829</v>
      </c>
      <c r="E59" s="258">
        <v>75869</v>
      </c>
      <c r="F59" s="258">
        <v>45084</v>
      </c>
      <c r="G59" s="258">
        <v>4753</v>
      </c>
      <c r="H59" s="258">
        <v>6563</v>
      </c>
      <c r="I59" s="258">
        <v>15929</v>
      </c>
      <c r="J59" s="258">
        <v>3540</v>
      </c>
      <c r="K59" s="258">
        <v>72088</v>
      </c>
      <c r="L59" s="259">
        <v>0.05</v>
      </c>
      <c r="M59" s="260">
        <v>2.81</v>
      </c>
      <c r="N59" s="261">
        <v>12</v>
      </c>
      <c r="O59" s="262"/>
      <c r="P59" s="263">
        <v>0.59419999999999995</v>
      </c>
      <c r="Q59" s="263">
        <v>6.2600000000000003E-2</v>
      </c>
      <c r="R59" s="263">
        <v>8.6499999999999994E-2</v>
      </c>
      <c r="S59" s="263">
        <v>0.21</v>
      </c>
      <c r="T59" s="263">
        <v>4.6699999999999998E-2</v>
      </c>
      <c r="U59" s="262"/>
      <c r="V59" s="262"/>
      <c r="W59" s="264">
        <v>5.5E-2</v>
      </c>
      <c r="X59" s="262"/>
      <c r="Y59" s="256">
        <v>12</v>
      </c>
      <c r="Z59" s="264">
        <v>5.0000000000000001E-3</v>
      </c>
      <c r="AA59" s="264"/>
      <c r="AB59" s="274">
        <v>12</v>
      </c>
      <c r="AC59" s="262"/>
      <c r="AD59" s="262"/>
      <c r="AE59" s="262"/>
      <c r="AF59" s="262"/>
      <c r="AG59" s="262"/>
      <c r="AH59" s="140" t="s">
        <v>590</v>
      </c>
      <c r="AI59" s="140">
        <v>13</v>
      </c>
      <c r="AJ59" s="140">
        <v>5451256194</v>
      </c>
      <c r="AK59" s="278">
        <v>0.61870000000000003</v>
      </c>
    </row>
    <row r="60" spans="1:37" x14ac:dyDescent="0.2">
      <c r="A60" s="257" t="s">
        <v>592</v>
      </c>
      <c r="B60" s="258">
        <v>74345</v>
      </c>
      <c r="C60" s="258">
        <v>73064</v>
      </c>
      <c r="D60" s="258">
        <v>1281</v>
      </c>
      <c r="E60" s="258">
        <v>28089</v>
      </c>
      <c r="F60" s="258">
        <v>19593</v>
      </c>
      <c r="G60" s="258">
        <v>545</v>
      </c>
      <c r="H60" s="258">
        <v>2649</v>
      </c>
      <c r="I60" s="258">
        <v>2343</v>
      </c>
      <c r="J60" s="258">
        <v>2959</v>
      </c>
      <c r="K60" s="258">
        <v>25233</v>
      </c>
      <c r="L60" s="259">
        <v>0.10199999999999999</v>
      </c>
      <c r="M60" s="260">
        <v>2.9</v>
      </c>
      <c r="N60" s="261">
        <v>11</v>
      </c>
      <c r="O60" s="287"/>
      <c r="P60" s="263">
        <v>0.69750000000000001</v>
      </c>
      <c r="Q60" s="263">
        <v>1.9400000000000001E-2</v>
      </c>
      <c r="R60" s="263">
        <v>9.4299999999999995E-2</v>
      </c>
      <c r="S60" s="263">
        <v>8.3400000000000002E-2</v>
      </c>
      <c r="T60" s="263">
        <v>0.1053</v>
      </c>
      <c r="U60" s="262"/>
      <c r="V60" s="262"/>
      <c r="W60" s="264">
        <v>1.7000000000000001E-2</v>
      </c>
      <c r="X60" s="262"/>
      <c r="Y60" s="256">
        <v>11</v>
      </c>
      <c r="Z60" s="264">
        <v>2E-3</v>
      </c>
      <c r="AA60" s="264"/>
      <c r="AB60" s="274">
        <v>11</v>
      </c>
      <c r="AC60" s="262"/>
      <c r="AD60" s="262"/>
      <c r="AE60" s="262"/>
      <c r="AF60" s="262"/>
      <c r="AG60" s="262"/>
      <c r="AH60" s="140" t="s">
        <v>590</v>
      </c>
      <c r="AI60" s="140">
        <v>16</v>
      </c>
      <c r="AJ60" s="140">
        <v>3358949946</v>
      </c>
      <c r="AK60" s="278">
        <v>0.38119999999999998</v>
      </c>
    </row>
    <row r="61" spans="1:37" x14ac:dyDescent="0.2">
      <c r="A61" s="28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9" t="s">
        <v>172</v>
      </c>
      <c r="M61" s="260"/>
      <c r="N61" s="260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140" t="s">
        <v>593</v>
      </c>
      <c r="AI61" s="140">
        <v>1</v>
      </c>
      <c r="AJ61" s="140">
        <v>101401</v>
      </c>
      <c r="AK61" s="278">
        <v>1E-4</v>
      </c>
    </row>
    <row r="62" spans="1:37" x14ac:dyDescent="0.2">
      <c r="A62" s="288"/>
      <c r="B62" s="258">
        <f>SUM(B3:B60)</f>
        <v>39255883</v>
      </c>
      <c r="C62" s="258">
        <f t="shared" ref="C62:M62" si="0">SUM(C3:C60)</f>
        <v>38420933</v>
      </c>
      <c r="D62" s="258">
        <f t="shared" si="0"/>
        <v>834950</v>
      </c>
      <c r="E62" s="258">
        <f t="shared" si="0"/>
        <v>13981826</v>
      </c>
      <c r="F62" s="258">
        <f t="shared" si="0"/>
        <v>8094422</v>
      </c>
      <c r="G62" s="258">
        <f t="shared" si="0"/>
        <v>977593</v>
      </c>
      <c r="H62" s="258">
        <f t="shared" si="0"/>
        <v>1123464</v>
      </c>
      <c r="I62" s="258">
        <f t="shared" si="0"/>
        <v>3225488</v>
      </c>
      <c r="J62" s="258">
        <f t="shared" si="0"/>
        <v>560853</v>
      </c>
      <c r="K62" s="258">
        <f t="shared" si="0"/>
        <v>12941948</v>
      </c>
      <c r="L62" s="258">
        <f t="shared" si="0"/>
        <v>8.6120000000000001</v>
      </c>
      <c r="M62" s="258">
        <f t="shared" si="0"/>
        <v>159.57999999999998</v>
      </c>
      <c r="N62" s="260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4">
        <v>0.111</v>
      </c>
      <c r="AB62" s="262"/>
      <c r="AC62" s="262"/>
      <c r="AD62" s="262"/>
      <c r="AE62" s="262"/>
      <c r="AF62" s="262"/>
      <c r="AG62" s="262"/>
      <c r="AH62" s="140" t="s">
        <v>593</v>
      </c>
      <c r="AI62" s="140">
        <v>2</v>
      </c>
      <c r="AJ62" s="140">
        <v>865257462</v>
      </c>
      <c r="AK62" s="278">
        <v>0.39329999999999998</v>
      </c>
    </row>
    <row r="63" spans="1:37" x14ac:dyDescent="0.2">
      <c r="A63" s="289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1"/>
      <c r="M63" s="292"/>
      <c r="N63" s="29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140" t="s">
        <v>593</v>
      </c>
      <c r="AI63" s="140">
        <v>3</v>
      </c>
      <c r="AJ63" s="140">
        <v>1334857012</v>
      </c>
      <c r="AK63" s="278">
        <v>0.60670000000000002</v>
      </c>
    </row>
    <row r="64" spans="1:37" x14ac:dyDescent="0.2">
      <c r="A64" s="289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59"/>
      <c r="M64" s="260"/>
      <c r="N64" s="260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140" t="s">
        <v>594</v>
      </c>
      <c r="AI64" s="140">
        <v>12</v>
      </c>
      <c r="AJ64" s="140">
        <v>3187175230</v>
      </c>
      <c r="AK64" s="278">
        <v>0.52739999999999998</v>
      </c>
    </row>
    <row r="65" spans="1:37" ht="17" thickBot="1" x14ac:dyDescent="0.25">
      <c r="A65" s="293"/>
      <c r="B65" s="294">
        <v>39255883</v>
      </c>
      <c r="C65" s="294">
        <v>38420933</v>
      </c>
      <c r="D65" s="294">
        <v>834950</v>
      </c>
      <c r="E65" s="294">
        <v>13981826</v>
      </c>
      <c r="F65" s="294">
        <v>8094422</v>
      </c>
      <c r="G65" s="294">
        <v>977593</v>
      </c>
      <c r="H65" s="294">
        <v>1123464</v>
      </c>
      <c r="I65" s="294">
        <v>3225488</v>
      </c>
      <c r="J65" s="294">
        <v>560853</v>
      </c>
      <c r="K65" s="294">
        <v>12941948</v>
      </c>
      <c r="L65" s="294">
        <v>9</v>
      </c>
      <c r="M65" s="295"/>
      <c r="N65" s="260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140" t="s">
        <v>594</v>
      </c>
      <c r="AI65" s="140">
        <v>13</v>
      </c>
      <c r="AJ65" s="140">
        <v>855839</v>
      </c>
      <c r="AK65" s="278">
        <v>1E-4</v>
      </c>
    </row>
    <row r="66" spans="1:37" x14ac:dyDescent="0.2">
      <c r="A66" t="s">
        <v>659</v>
      </c>
      <c r="F66" s="133">
        <f t="shared" ref="F66:K66" si="1">F65/$E65</f>
        <v>0.57892452673921135</v>
      </c>
      <c r="G66" s="133">
        <f t="shared" si="1"/>
        <v>6.9918836066190496E-2</v>
      </c>
      <c r="H66" s="133">
        <f t="shared" si="1"/>
        <v>8.0351736604360541E-2</v>
      </c>
      <c r="I66" s="133">
        <f t="shared" si="1"/>
        <v>0.23069147048461339</v>
      </c>
      <c r="J66" s="133">
        <f t="shared" si="1"/>
        <v>4.0113000977125592E-2</v>
      </c>
      <c r="K66" s="133">
        <f t="shared" si="1"/>
        <v>0.92562645251056619</v>
      </c>
      <c r="N66" s="260"/>
      <c r="O66" s="262"/>
      <c r="P66" s="263">
        <v>0.67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140" t="s">
        <v>594</v>
      </c>
      <c r="AI66" s="140">
        <v>16</v>
      </c>
      <c r="AJ66" s="140">
        <v>2855099330</v>
      </c>
      <c r="AK66" s="278">
        <v>0.47249999999999998</v>
      </c>
    </row>
    <row r="67" spans="1:37" ht="17" thickBot="1" x14ac:dyDescent="0.25">
      <c r="A67" s="293"/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298"/>
      <c r="M67" s="295"/>
      <c r="N67" s="260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140" t="s">
        <v>595</v>
      </c>
      <c r="AI67" s="140">
        <v>1</v>
      </c>
      <c r="AJ67" s="140">
        <v>4227921134</v>
      </c>
      <c r="AK67" s="278">
        <v>0.27679999999999999</v>
      </c>
    </row>
    <row r="68" spans="1:37" x14ac:dyDescent="0.2">
      <c r="A68" s="296"/>
      <c r="B68" s="258"/>
      <c r="C68" s="258"/>
      <c r="D68" s="258"/>
      <c r="E68" s="258"/>
      <c r="F68" s="259"/>
      <c r="G68" s="259"/>
      <c r="H68" s="259"/>
      <c r="I68" s="259"/>
      <c r="J68" s="259"/>
      <c r="K68" s="259"/>
      <c r="L68" s="259"/>
      <c r="M68" s="260"/>
      <c r="N68" s="299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140" t="s">
        <v>595</v>
      </c>
      <c r="AI68" s="140">
        <v>16</v>
      </c>
      <c r="AJ68" s="140">
        <v>1387385469</v>
      </c>
      <c r="AK68" s="278">
        <v>9.0800000000000006E-2</v>
      </c>
    </row>
    <row r="69" spans="1:37" x14ac:dyDescent="0.2">
      <c r="A69" s="140" t="s">
        <v>658</v>
      </c>
      <c r="B69" s="140"/>
      <c r="C69" s="140"/>
      <c r="D69" s="140"/>
      <c r="E69" s="300"/>
      <c r="F69" s="313">
        <v>0.57971934590942575</v>
      </c>
      <c r="G69" s="313">
        <v>7.0079223359971091E-2</v>
      </c>
      <c r="H69" s="313">
        <v>8.05828566016005E-2</v>
      </c>
      <c r="I69" s="313">
        <v>0.22934414223107358</v>
      </c>
      <c r="J69" s="313">
        <v>4.0274431897929015E-2</v>
      </c>
      <c r="K69" s="140"/>
      <c r="L69" s="300"/>
      <c r="M69" s="301"/>
      <c r="N69" s="301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140" t="s">
        <v>595</v>
      </c>
      <c r="AI69" s="140">
        <v>2</v>
      </c>
      <c r="AJ69" s="140">
        <v>9656847012</v>
      </c>
      <c r="AK69" s="278">
        <v>0.63229999999999997</v>
      </c>
    </row>
    <row r="70" spans="1:37" x14ac:dyDescent="0.2">
      <c r="A70" s="140"/>
      <c r="B70" s="140"/>
      <c r="C70" s="140"/>
      <c r="D70" s="140"/>
      <c r="E70" s="300"/>
      <c r="F70" s="140"/>
      <c r="G70" s="140"/>
      <c r="H70" s="140"/>
      <c r="I70" s="140"/>
      <c r="J70" s="140"/>
      <c r="K70" s="140"/>
      <c r="L70" s="300"/>
      <c r="M70" s="301"/>
      <c r="N70" s="301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140" t="s">
        <v>596</v>
      </c>
      <c r="AI70" s="140">
        <v>12</v>
      </c>
      <c r="AJ70" s="140">
        <v>8058789627</v>
      </c>
      <c r="AK70" s="278">
        <v>0.99609999999999999</v>
      </c>
    </row>
    <row r="71" spans="1:37" x14ac:dyDescent="0.2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300"/>
      <c r="M71" s="301"/>
      <c r="N71" s="301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140" t="s">
        <v>596</v>
      </c>
      <c r="AI71" s="140">
        <v>13</v>
      </c>
      <c r="AJ71" s="140">
        <v>28022619</v>
      </c>
      <c r="AK71" s="278">
        <v>3.5000000000000001E-3</v>
      </c>
    </row>
    <row r="72" spans="1:37" x14ac:dyDescent="0.2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300"/>
      <c r="M72" s="301"/>
      <c r="N72" s="301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140" t="s">
        <v>596</v>
      </c>
      <c r="AI72" s="140">
        <v>4</v>
      </c>
      <c r="AJ72" s="140">
        <v>3534911</v>
      </c>
      <c r="AK72" s="278">
        <v>4.0000000000000002E-4</v>
      </c>
    </row>
    <row r="73" spans="1:37" x14ac:dyDescent="0.2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300"/>
      <c r="M73" s="301"/>
      <c r="N73" s="301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140" t="s">
        <v>597</v>
      </c>
      <c r="AI73" s="140">
        <v>16</v>
      </c>
      <c r="AJ73" s="140">
        <v>19475568931</v>
      </c>
      <c r="AK73" s="278">
        <v>1</v>
      </c>
    </row>
    <row r="74" spans="1:37" x14ac:dyDescent="0.2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300"/>
      <c r="M74" s="301"/>
      <c r="N74" s="301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140" t="s">
        <v>598</v>
      </c>
      <c r="AI74" s="140">
        <v>16</v>
      </c>
      <c r="AJ74" s="140">
        <v>13063310166</v>
      </c>
      <c r="AK74" s="278">
        <v>1</v>
      </c>
    </row>
    <row r="75" spans="1:37" x14ac:dyDescent="0.2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300"/>
      <c r="M75" s="301"/>
      <c r="N75" s="301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140" t="s">
        <v>599</v>
      </c>
      <c r="AI75" s="140">
        <v>13</v>
      </c>
      <c r="AJ75" s="140">
        <v>1521458</v>
      </c>
      <c r="AK75" s="278">
        <v>1E-4</v>
      </c>
    </row>
    <row r="76" spans="1:37" x14ac:dyDescent="0.2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300"/>
      <c r="M76" s="301"/>
      <c r="N76" s="301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140" t="s">
        <v>599</v>
      </c>
      <c r="AI76" s="140">
        <v>3</v>
      </c>
      <c r="AJ76" s="140">
        <v>5959358470</v>
      </c>
      <c r="AK76" s="278">
        <v>0.45090000000000002</v>
      </c>
    </row>
    <row r="77" spans="1:37" x14ac:dyDescent="0.2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300"/>
      <c r="M77" s="301"/>
      <c r="N77" s="301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140" t="s">
        <v>599</v>
      </c>
      <c r="AI77" s="140">
        <v>4</v>
      </c>
      <c r="AJ77" s="140">
        <v>7254859332</v>
      </c>
      <c r="AK77" s="278">
        <v>0.54900000000000004</v>
      </c>
    </row>
    <row r="78" spans="1:37" x14ac:dyDescent="0.2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300"/>
      <c r="M78" s="301"/>
      <c r="N78" s="301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140" t="s">
        <v>599</v>
      </c>
      <c r="AI78" s="140">
        <v>5</v>
      </c>
      <c r="AJ78" s="140">
        <v>7513</v>
      </c>
      <c r="AK78" s="278">
        <v>0</v>
      </c>
    </row>
    <row r="79" spans="1:37" x14ac:dyDescent="0.2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300"/>
      <c r="M79" s="301"/>
      <c r="N79" s="301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140" t="s">
        <v>600</v>
      </c>
      <c r="AI79" s="140">
        <v>12</v>
      </c>
      <c r="AJ79" s="140">
        <v>1973712</v>
      </c>
      <c r="AK79" s="278">
        <v>5.9999999999999995E-4</v>
      </c>
    </row>
    <row r="80" spans="1:37" x14ac:dyDescent="0.2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300"/>
      <c r="M80" s="301"/>
      <c r="N80" s="301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140" t="s">
        <v>600</v>
      </c>
      <c r="AI80" s="140">
        <v>2</v>
      </c>
      <c r="AJ80" s="140">
        <v>3338122715</v>
      </c>
      <c r="AK80" s="278">
        <v>0.99939999999999996</v>
      </c>
    </row>
    <row r="81" spans="1:37" x14ac:dyDescent="0.2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300"/>
      <c r="M81" s="301"/>
      <c r="N81" s="301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140" t="s">
        <v>600</v>
      </c>
      <c r="AI81" s="140">
        <v>3</v>
      </c>
      <c r="AJ81" s="140">
        <v>166176</v>
      </c>
      <c r="AK81" s="278">
        <v>1E-4</v>
      </c>
    </row>
    <row r="82" spans="1:37" ht="17" thickBot="1" x14ac:dyDescent="0.25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300"/>
      <c r="M82" s="301"/>
      <c r="N82" s="301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140" t="s">
        <v>601</v>
      </c>
      <c r="AI82" s="140">
        <v>11</v>
      </c>
      <c r="AJ82" s="140">
        <v>1830990157</v>
      </c>
      <c r="AK82" s="278">
        <v>0.43409999999999999</v>
      </c>
    </row>
    <row r="83" spans="1:37" x14ac:dyDescent="0.2">
      <c r="A83" s="411" t="s">
        <v>602</v>
      </c>
      <c r="B83" s="412"/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30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140" t="s">
        <v>601</v>
      </c>
      <c r="AI83" s="140">
        <v>16</v>
      </c>
      <c r="AJ83" s="140">
        <v>2386599598</v>
      </c>
      <c r="AK83" s="278">
        <v>0.56589999999999996</v>
      </c>
    </row>
    <row r="84" spans="1:37" x14ac:dyDescent="0.2">
      <c r="A84" s="413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303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140" t="s">
        <v>603</v>
      </c>
      <c r="AI84" s="140">
        <v>10</v>
      </c>
      <c r="AJ84" s="140">
        <v>2509331</v>
      </c>
      <c r="AK84" s="278">
        <v>8.0000000000000004E-4</v>
      </c>
    </row>
    <row r="85" spans="1:37" x14ac:dyDescent="0.2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300"/>
      <c r="M85" s="301"/>
      <c r="N85" s="301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140" t="s">
        <v>603</v>
      </c>
      <c r="AI85" s="140">
        <v>6</v>
      </c>
      <c r="AJ85" s="140">
        <v>757723725</v>
      </c>
      <c r="AK85" s="278">
        <v>0.25340000000000001</v>
      </c>
    </row>
    <row r="86" spans="1:37" x14ac:dyDescent="0.2">
      <c r="A86" s="246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300"/>
      <c r="M86" s="301"/>
      <c r="N86" s="301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140" t="s">
        <v>603</v>
      </c>
      <c r="AI86" s="140">
        <v>7</v>
      </c>
      <c r="AJ86" s="140">
        <v>47534</v>
      </c>
      <c r="AK86" s="278">
        <v>0</v>
      </c>
    </row>
    <row r="87" spans="1:37" x14ac:dyDescent="0.2">
      <c r="A87" s="304" t="s">
        <v>604</v>
      </c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300"/>
      <c r="M87" s="301"/>
      <c r="N87" s="301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140" t="s">
        <v>603</v>
      </c>
      <c r="AI87" s="140">
        <v>8</v>
      </c>
      <c r="AJ87" s="140">
        <v>2229228969</v>
      </c>
      <c r="AK87" s="278">
        <v>0.74550000000000005</v>
      </c>
    </row>
    <row r="88" spans="1:37" x14ac:dyDescent="0.2">
      <c r="A88" s="304" t="s">
        <v>605</v>
      </c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300"/>
      <c r="M88" s="301"/>
      <c r="N88" s="301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140" t="s">
        <v>603</v>
      </c>
      <c r="AI88" s="140">
        <v>9</v>
      </c>
      <c r="AJ88" s="140">
        <v>570678</v>
      </c>
      <c r="AK88" s="278">
        <v>2.0000000000000001E-4</v>
      </c>
    </row>
    <row r="89" spans="1:37" x14ac:dyDescent="0.2">
      <c r="A89" s="304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300"/>
      <c r="M89" s="301"/>
      <c r="N89" s="301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140" t="s">
        <v>606</v>
      </c>
      <c r="AI89" s="140">
        <v>11</v>
      </c>
      <c r="AJ89" s="140">
        <v>2156313174</v>
      </c>
      <c r="AK89" s="278">
        <v>0.3337</v>
      </c>
    </row>
    <row r="90" spans="1:37" x14ac:dyDescent="0.2">
      <c r="A90" s="304" t="s">
        <v>607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300"/>
      <c r="M90" s="301"/>
      <c r="N90" s="301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140" t="s">
        <v>606</v>
      </c>
      <c r="AI90" s="140">
        <v>12</v>
      </c>
      <c r="AJ90" s="140">
        <v>11730047</v>
      </c>
      <c r="AK90" s="278">
        <v>1.8E-3</v>
      </c>
    </row>
    <row r="91" spans="1:37" ht="255" x14ac:dyDescent="0.2">
      <c r="A91" s="305" t="s">
        <v>608</v>
      </c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300"/>
      <c r="M91" s="301"/>
      <c r="N91" s="301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140" t="s">
        <v>606</v>
      </c>
      <c r="AI91" s="140">
        <v>16</v>
      </c>
      <c r="AJ91" s="140">
        <v>4294806734</v>
      </c>
      <c r="AK91" s="278">
        <v>0.66449999999999998</v>
      </c>
    </row>
    <row r="92" spans="1:37" x14ac:dyDescent="0.2">
      <c r="A92" s="304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300"/>
      <c r="M92" s="301"/>
      <c r="N92" s="301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140" t="s">
        <v>609</v>
      </c>
      <c r="AI92" s="140">
        <v>16</v>
      </c>
      <c r="AJ92" s="140">
        <v>11549991596</v>
      </c>
      <c r="AK92" s="278">
        <v>1</v>
      </c>
    </row>
    <row r="93" spans="1:37" x14ac:dyDescent="0.2">
      <c r="A93" s="306" t="s">
        <v>610</v>
      </c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300"/>
      <c r="M93" s="301"/>
      <c r="N93" s="301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140" t="s">
        <v>611</v>
      </c>
      <c r="AI93" s="140">
        <v>10</v>
      </c>
      <c r="AJ93" s="140">
        <v>5794818947</v>
      </c>
      <c r="AK93" s="278">
        <v>0.21129999999999999</v>
      </c>
    </row>
    <row r="94" spans="1:37" x14ac:dyDescent="0.2">
      <c r="A94" s="306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300"/>
      <c r="M94" s="301"/>
      <c r="N94" s="301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140" t="s">
        <v>611</v>
      </c>
      <c r="AI94" s="140">
        <v>14</v>
      </c>
      <c r="AJ94" s="140">
        <v>5677243406</v>
      </c>
      <c r="AK94" s="278">
        <v>0.20699999999999999</v>
      </c>
    </row>
    <row r="95" spans="1:37" ht="66" x14ac:dyDescent="0.2">
      <c r="A95" s="307" t="s">
        <v>612</v>
      </c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300"/>
      <c r="M95" s="301"/>
      <c r="N95" s="301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140" t="s">
        <v>611</v>
      </c>
      <c r="AI95" s="140">
        <v>15</v>
      </c>
      <c r="AJ95" s="140">
        <v>14065593839</v>
      </c>
      <c r="AK95" s="278">
        <v>0.51280000000000003</v>
      </c>
    </row>
    <row r="96" spans="1:37" x14ac:dyDescent="0.2">
      <c r="A96" s="309" t="s">
        <v>613</v>
      </c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300"/>
      <c r="M96" s="301"/>
      <c r="N96" s="301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140" t="s">
        <v>611</v>
      </c>
      <c r="AI96" s="140">
        <v>16</v>
      </c>
      <c r="AJ96" s="140">
        <v>1886705350</v>
      </c>
      <c r="AK96" s="278">
        <v>6.88E-2</v>
      </c>
    </row>
    <row r="97" spans="1:37" x14ac:dyDescent="0.2">
      <c r="A97" s="309" t="s">
        <v>614</v>
      </c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300"/>
      <c r="M97" s="301"/>
      <c r="N97" s="301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140" t="s">
        <v>611</v>
      </c>
      <c r="AI97" s="140">
        <v>7</v>
      </c>
      <c r="AJ97" s="140">
        <v>87129</v>
      </c>
      <c r="AK97" s="278">
        <v>0</v>
      </c>
    </row>
    <row r="98" spans="1:37" x14ac:dyDescent="0.2">
      <c r="A98" s="309" t="s">
        <v>615</v>
      </c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300"/>
      <c r="M98" s="301"/>
      <c r="N98" s="301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140" t="s">
        <v>611</v>
      </c>
      <c r="AI98" s="140">
        <v>8</v>
      </c>
      <c r="AJ98" s="140">
        <v>2295387</v>
      </c>
      <c r="AK98" s="278">
        <v>1E-4</v>
      </c>
    </row>
    <row r="99" spans="1:37" x14ac:dyDescent="0.2">
      <c r="A99" s="309" t="s">
        <v>616</v>
      </c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300"/>
      <c r="M99" s="301"/>
      <c r="N99" s="301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140" t="s">
        <v>617</v>
      </c>
      <c r="AI99" s="140">
        <v>11</v>
      </c>
      <c r="AJ99" s="140">
        <v>400260</v>
      </c>
      <c r="AK99" s="278">
        <v>1E-4</v>
      </c>
    </row>
    <row r="100" spans="1:37" x14ac:dyDescent="0.2">
      <c r="A100" s="309" t="s">
        <v>618</v>
      </c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300"/>
      <c r="M100" s="301"/>
      <c r="N100" s="301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140" t="s">
        <v>617</v>
      </c>
      <c r="AI100" s="140">
        <v>12</v>
      </c>
      <c r="AJ100" s="140">
        <v>4204865418</v>
      </c>
      <c r="AK100" s="278">
        <v>0.99990000000000001</v>
      </c>
    </row>
    <row r="101" spans="1:37" x14ac:dyDescent="0.2">
      <c r="A101" s="309" t="s">
        <v>619</v>
      </c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300"/>
      <c r="M101" s="301"/>
      <c r="N101" s="301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140" t="s">
        <v>620</v>
      </c>
      <c r="AI101" s="140">
        <v>12</v>
      </c>
      <c r="AJ101" s="140">
        <v>577249</v>
      </c>
      <c r="AK101" s="278">
        <v>1E-4</v>
      </c>
    </row>
    <row r="102" spans="1:37" x14ac:dyDescent="0.2">
      <c r="A102" s="309" t="s">
        <v>621</v>
      </c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300"/>
      <c r="M102" s="301"/>
      <c r="N102" s="301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140" t="s">
        <v>620</v>
      </c>
      <c r="AI102" s="140">
        <v>13</v>
      </c>
      <c r="AJ102" s="140">
        <v>980822</v>
      </c>
      <c r="AK102" s="278">
        <v>2.0000000000000001E-4</v>
      </c>
    </row>
    <row r="103" spans="1:37" x14ac:dyDescent="0.2">
      <c r="A103" s="309" t="s">
        <v>622</v>
      </c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300"/>
      <c r="M103" s="301"/>
      <c r="N103" s="301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140" t="s">
        <v>620</v>
      </c>
      <c r="AI103" s="140">
        <v>3</v>
      </c>
      <c r="AJ103" s="140">
        <v>1919843</v>
      </c>
      <c r="AK103" s="278">
        <v>2.9999999999999997E-4</v>
      </c>
    </row>
    <row r="104" spans="1:37" x14ac:dyDescent="0.2">
      <c r="A104" s="309" t="s">
        <v>623</v>
      </c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300"/>
      <c r="M104" s="301"/>
      <c r="N104" s="301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140" t="s">
        <v>620</v>
      </c>
      <c r="AI104" s="140">
        <v>4</v>
      </c>
      <c r="AJ104" s="140">
        <v>5595972347</v>
      </c>
      <c r="AK104" s="278">
        <v>0.99939999999999996</v>
      </c>
    </row>
    <row r="105" spans="1:37" x14ac:dyDescent="0.2">
      <c r="A105" s="309" t="s">
        <v>624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300"/>
      <c r="M105" s="301"/>
      <c r="N105" s="301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140" t="s">
        <v>625</v>
      </c>
      <c r="AI105" s="140">
        <v>10</v>
      </c>
      <c r="AJ105" s="140">
        <v>1819923596</v>
      </c>
      <c r="AK105" s="278">
        <v>2.35E-2</v>
      </c>
    </row>
    <row r="106" spans="1:37" x14ac:dyDescent="0.2">
      <c r="A106" s="309" t="s">
        <v>626</v>
      </c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300"/>
      <c r="M106" s="301"/>
      <c r="N106" s="301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140" t="s">
        <v>625</v>
      </c>
      <c r="AI106" s="140">
        <v>14</v>
      </c>
      <c r="AJ106" s="140">
        <v>61649986426</v>
      </c>
      <c r="AK106" s="278">
        <v>0.79559999999999997</v>
      </c>
    </row>
    <row r="107" spans="1:37" x14ac:dyDescent="0.2">
      <c r="A107" s="309" t="s">
        <v>627</v>
      </c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300"/>
      <c r="M107" s="301"/>
      <c r="N107" s="301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140" t="s">
        <v>625</v>
      </c>
      <c r="AI107" s="140">
        <v>15</v>
      </c>
      <c r="AJ107" s="140">
        <v>10668786641</v>
      </c>
      <c r="AK107" s="278">
        <v>0.13769999999999999</v>
      </c>
    </row>
    <row r="108" spans="1:37" x14ac:dyDescent="0.2">
      <c r="A108" s="309" t="s">
        <v>628</v>
      </c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300"/>
      <c r="M108" s="301"/>
      <c r="N108" s="301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140" t="s">
        <v>625</v>
      </c>
      <c r="AI108" s="140">
        <v>16</v>
      </c>
      <c r="AJ108" s="140">
        <v>3353834611</v>
      </c>
      <c r="AK108" s="278">
        <v>4.3299999999999998E-2</v>
      </c>
    </row>
    <row r="109" spans="1:37" x14ac:dyDescent="0.2">
      <c r="A109" s="309" t="s">
        <v>629</v>
      </c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300"/>
      <c r="M109" s="301"/>
      <c r="N109" s="301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140" t="s">
        <v>625</v>
      </c>
      <c r="AI109" s="140">
        <v>8</v>
      </c>
      <c r="AJ109" s="140">
        <v>293367</v>
      </c>
      <c r="AK109" s="278">
        <v>0</v>
      </c>
    </row>
    <row r="110" spans="1:37" x14ac:dyDescent="0.2">
      <c r="A110" s="31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300"/>
      <c r="M110" s="301"/>
      <c r="N110" s="301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140" t="s">
        <v>625</v>
      </c>
      <c r="AI110" s="140">
        <v>9</v>
      </c>
      <c r="AJ110" s="140">
        <v>107758</v>
      </c>
      <c r="AK110" s="278">
        <v>0</v>
      </c>
    </row>
    <row r="111" spans="1:37" x14ac:dyDescent="0.2">
      <c r="A111" s="241" t="s">
        <v>630</v>
      </c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300"/>
      <c r="M111" s="301"/>
      <c r="N111" s="301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140" t="s">
        <v>631</v>
      </c>
      <c r="AI111" s="140">
        <v>10</v>
      </c>
      <c r="AJ111" s="140">
        <v>4109297498</v>
      </c>
      <c r="AK111" s="278">
        <v>0.26240000000000002</v>
      </c>
    </row>
    <row r="112" spans="1:37" x14ac:dyDescent="0.2">
      <c r="A112" s="309" t="s">
        <v>376</v>
      </c>
      <c r="B112" s="308"/>
      <c r="C112" s="308"/>
      <c r="D112" s="308"/>
      <c r="E112" s="308"/>
      <c r="F112" s="308"/>
      <c r="G112" s="140"/>
      <c r="H112" s="140"/>
      <c r="I112" s="140"/>
      <c r="J112" s="140"/>
      <c r="K112" s="140"/>
      <c r="L112" s="300"/>
      <c r="M112" s="301"/>
      <c r="N112" s="301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140" t="s">
        <v>631</v>
      </c>
      <c r="AI112" s="140">
        <v>14</v>
      </c>
      <c r="AJ112" s="140">
        <v>5445594895</v>
      </c>
      <c r="AK112" s="278">
        <v>0.34770000000000001</v>
      </c>
    </row>
    <row r="113" spans="1:37" x14ac:dyDescent="0.2">
      <c r="A113" s="246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300"/>
      <c r="M113" s="301"/>
      <c r="N113" s="301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140" t="s">
        <v>631</v>
      </c>
      <c r="AI113" s="140">
        <v>15</v>
      </c>
      <c r="AJ113" s="140">
        <v>3473061007</v>
      </c>
      <c r="AK113" s="278">
        <v>0.2218</v>
      </c>
    </row>
    <row r="114" spans="1:37" x14ac:dyDescent="0.2">
      <c r="A114" s="241" t="s">
        <v>632</v>
      </c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300"/>
      <c r="M114" s="301"/>
      <c r="N114" s="301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140" t="s">
        <v>631</v>
      </c>
      <c r="AI114" s="140">
        <v>6</v>
      </c>
      <c r="AJ114" s="140">
        <v>312852</v>
      </c>
      <c r="AK114" s="278">
        <v>0</v>
      </c>
    </row>
    <row r="115" spans="1:37" x14ac:dyDescent="0.2">
      <c r="A115" s="246" t="s">
        <v>633</v>
      </c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300"/>
      <c r="M115" s="301"/>
      <c r="N115" s="301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140" t="s">
        <v>631</v>
      </c>
      <c r="AI115" s="140">
        <v>7</v>
      </c>
      <c r="AJ115" s="140">
        <v>2631041091</v>
      </c>
      <c r="AK115" s="278">
        <v>0.16800000000000001</v>
      </c>
    </row>
    <row r="116" spans="1:37" x14ac:dyDescent="0.2">
      <c r="A116" s="246" t="s">
        <v>634</v>
      </c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300"/>
      <c r="M116" s="301"/>
      <c r="N116" s="301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140" t="s">
        <v>631</v>
      </c>
      <c r="AI116" s="140">
        <v>8</v>
      </c>
      <c r="AJ116" s="140">
        <v>465715</v>
      </c>
      <c r="AK116" s="278">
        <v>0</v>
      </c>
    </row>
    <row r="117" spans="1:37" x14ac:dyDescent="0.2">
      <c r="A117" s="246" t="s">
        <v>635</v>
      </c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300"/>
      <c r="M117" s="301"/>
      <c r="N117" s="301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140" t="s">
        <v>636</v>
      </c>
      <c r="AI117" s="140">
        <v>3</v>
      </c>
      <c r="AJ117" s="140">
        <v>196095984</v>
      </c>
      <c r="AK117" s="278">
        <v>1</v>
      </c>
    </row>
    <row r="118" spans="1:37" x14ac:dyDescent="0.2">
      <c r="A118" s="246" t="s">
        <v>637</v>
      </c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300"/>
      <c r="M118" s="301"/>
      <c r="N118" s="301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140" t="s">
        <v>638</v>
      </c>
      <c r="AI118" s="140">
        <v>12</v>
      </c>
      <c r="AJ118" s="140">
        <v>5950287562</v>
      </c>
      <c r="AK118" s="278">
        <v>1</v>
      </c>
    </row>
    <row r="119" spans="1:37" x14ac:dyDescent="0.2">
      <c r="A119" s="311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300"/>
      <c r="M119" s="301"/>
      <c r="N119" s="301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140" t="s">
        <v>638</v>
      </c>
      <c r="AI119" s="140">
        <v>4</v>
      </c>
      <c r="AJ119" s="140">
        <v>65</v>
      </c>
      <c r="AK119" s="278">
        <v>0</v>
      </c>
    </row>
    <row r="120" spans="1:37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300"/>
      <c r="M120" s="301"/>
      <c r="N120" s="301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140" t="s">
        <v>639</v>
      </c>
      <c r="AI120" s="140">
        <v>13</v>
      </c>
      <c r="AJ120" s="140">
        <v>1341637</v>
      </c>
      <c r="AK120" s="278">
        <v>1E-4</v>
      </c>
    </row>
    <row r="121" spans="1:37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300"/>
      <c r="M121" s="301"/>
      <c r="N121" s="301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140" t="s">
        <v>639</v>
      </c>
      <c r="AI121" s="140">
        <v>3</v>
      </c>
      <c r="AJ121" s="140">
        <v>41</v>
      </c>
      <c r="AK121" s="278">
        <v>0</v>
      </c>
    </row>
    <row r="122" spans="1:37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300"/>
      <c r="M122" s="301"/>
      <c r="N122" s="301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140" t="s">
        <v>639</v>
      </c>
      <c r="AI122" s="140">
        <v>4</v>
      </c>
      <c r="AJ122" s="140">
        <v>9626171906</v>
      </c>
      <c r="AK122" s="278">
        <v>0.74239999999999995</v>
      </c>
    </row>
    <row r="123" spans="1:37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300"/>
      <c r="M123" s="301"/>
      <c r="N123" s="301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140" t="s">
        <v>639</v>
      </c>
      <c r="AI123" s="140">
        <v>5</v>
      </c>
      <c r="AJ123" s="140">
        <v>3338632147</v>
      </c>
      <c r="AK123" s="278">
        <v>0.25750000000000001</v>
      </c>
    </row>
    <row r="124" spans="1:37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300"/>
      <c r="M124" s="301"/>
      <c r="N124" s="301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140" t="s">
        <v>640</v>
      </c>
      <c r="AI124" s="140">
        <v>3</v>
      </c>
      <c r="AJ124" s="140">
        <v>1877974874</v>
      </c>
      <c r="AK124" s="278">
        <v>0.99980000000000002</v>
      </c>
    </row>
    <row r="125" spans="1:37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300"/>
      <c r="M125" s="301"/>
      <c r="N125" s="301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140" t="s">
        <v>640</v>
      </c>
      <c r="AI125" s="140">
        <v>4</v>
      </c>
      <c r="AJ125" s="140">
        <v>462369</v>
      </c>
      <c r="AK125" s="278">
        <v>2.9999999999999997E-4</v>
      </c>
    </row>
    <row r="126" spans="1:37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300"/>
      <c r="M126" s="301"/>
      <c r="N126" s="301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140" t="s">
        <v>641</v>
      </c>
      <c r="AI126" s="140">
        <v>13</v>
      </c>
      <c r="AJ126" s="140">
        <v>45858</v>
      </c>
      <c r="AK126" s="278">
        <v>0</v>
      </c>
    </row>
    <row r="127" spans="1:37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300"/>
      <c r="M127" s="301"/>
      <c r="N127" s="301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140" t="s">
        <v>641</v>
      </c>
      <c r="AI127" s="140">
        <v>16</v>
      </c>
      <c r="AJ127" s="140">
        <v>5898372</v>
      </c>
      <c r="AK127" s="278">
        <v>5.9999999999999995E-4</v>
      </c>
    </row>
    <row r="128" spans="1:37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300"/>
      <c r="M128" s="301"/>
      <c r="N128" s="301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140" t="s">
        <v>641</v>
      </c>
      <c r="AI128" s="140">
        <v>4</v>
      </c>
      <c r="AJ128" s="140">
        <v>680622643</v>
      </c>
      <c r="AK128" s="278">
        <v>6.93E-2</v>
      </c>
    </row>
    <row r="129" spans="1:37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300"/>
      <c r="M129" s="301"/>
      <c r="N129" s="301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140" t="s">
        <v>641</v>
      </c>
      <c r="AI129" s="140">
        <v>5</v>
      </c>
      <c r="AJ129" s="140">
        <v>8507146527</v>
      </c>
      <c r="AK129" s="278">
        <v>0.86650000000000005</v>
      </c>
    </row>
    <row r="130" spans="1:37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300"/>
      <c r="M130" s="301"/>
      <c r="N130" s="301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140" t="s">
        <v>641</v>
      </c>
      <c r="AI130" s="140">
        <v>6</v>
      </c>
      <c r="AJ130" s="140">
        <v>623640360</v>
      </c>
      <c r="AK130" s="278">
        <v>6.3500000000000001E-2</v>
      </c>
    </row>
    <row r="131" spans="1:37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300"/>
      <c r="M131" s="301"/>
      <c r="N131" s="301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140" t="s">
        <v>641</v>
      </c>
      <c r="AI131" s="140">
        <v>9</v>
      </c>
      <c r="AJ131" s="140">
        <v>86695</v>
      </c>
      <c r="AK131" s="278">
        <v>0</v>
      </c>
    </row>
    <row r="132" spans="1:37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300"/>
      <c r="M132" s="301"/>
      <c r="N132" s="301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140" t="s">
        <v>642</v>
      </c>
      <c r="AI132" s="140">
        <v>12</v>
      </c>
      <c r="AJ132" s="140">
        <v>8396363</v>
      </c>
      <c r="AK132" s="278">
        <v>1.6000000000000001E-3</v>
      </c>
    </row>
    <row r="133" spans="1:37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300"/>
      <c r="M133" s="301"/>
      <c r="N133" s="301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140" t="s">
        <v>642</v>
      </c>
      <c r="AI133" s="140">
        <v>3</v>
      </c>
      <c r="AJ133" s="140">
        <v>11642242</v>
      </c>
      <c r="AK133" s="278">
        <v>2.2000000000000001E-3</v>
      </c>
    </row>
    <row r="134" spans="1:37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300"/>
      <c r="M134" s="301"/>
      <c r="N134" s="301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140" t="s">
        <v>642</v>
      </c>
      <c r="AI134" s="140">
        <v>4</v>
      </c>
      <c r="AJ134" s="140">
        <v>5294564193</v>
      </c>
      <c r="AK134" s="278">
        <v>0.99619999999999997</v>
      </c>
    </row>
    <row r="135" spans="1:37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300"/>
      <c r="M135" s="301"/>
      <c r="N135" s="301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140" t="s">
        <v>643</v>
      </c>
      <c r="AI135" s="140">
        <v>3</v>
      </c>
      <c r="AJ135" s="140">
        <v>1804855751</v>
      </c>
      <c r="AK135" s="278">
        <v>0.99170000000000003</v>
      </c>
    </row>
    <row r="136" spans="1:37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300"/>
      <c r="M136" s="301"/>
      <c r="N136" s="301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140" t="s">
        <v>643</v>
      </c>
      <c r="AI136" s="140">
        <v>4</v>
      </c>
      <c r="AJ136" s="140">
        <v>15031166</v>
      </c>
      <c r="AK136" s="278">
        <v>8.3000000000000001E-3</v>
      </c>
    </row>
    <row r="137" spans="1:37" x14ac:dyDescent="0.2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300"/>
      <c r="M137" s="301"/>
      <c r="N137" s="301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140" t="s">
        <v>644</v>
      </c>
      <c r="AI137" s="140">
        <v>11</v>
      </c>
      <c r="AJ137" s="140">
        <v>8147443470</v>
      </c>
      <c r="AK137" s="278">
        <v>0.46860000000000002</v>
      </c>
    </row>
    <row r="138" spans="1:37" x14ac:dyDescent="0.2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300"/>
      <c r="M138" s="301"/>
      <c r="N138" s="301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140" t="s">
        <v>644</v>
      </c>
      <c r="AI138" s="140">
        <v>16</v>
      </c>
      <c r="AJ138" s="140">
        <v>9240633651</v>
      </c>
      <c r="AK138" s="278">
        <v>0.53139999999999998</v>
      </c>
    </row>
    <row r="139" spans="1:37" x14ac:dyDescent="0.2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300"/>
      <c r="M139" s="301"/>
      <c r="N139" s="301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140" t="s">
        <v>645</v>
      </c>
      <c r="AI139" s="140">
        <v>11</v>
      </c>
      <c r="AJ139" s="140">
        <v>5035645</v>
      </c>
      <c r="AK139" s="278">
        <v>1.1999999999999999E-3</v>
      </c>
    </row>
    <row r="140" spans="1:37" x14ac:dyDescent="0.2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300"/>
      <c r="M140" s="301"/>
      <c r="N140" s="301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140" t="s">
        <v>645</v>
      </c>
      <c r="AI140" s="140">
        <v>16</v>
      </c>
      <c r="AJ140" s="140">
        <v>4195412575</v>
      </c>
      <c r="AK140" s="278">
        <v>0.99880000000000002</v>
      </c>
    </row>
    <row r="141" spans="1:37" x14ac:dyDescent="0.2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300"/>
      <c r="M141" s="301"/>
      <c r="N141" s="301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140" t="s">
        <v>646</v>
      </c>
      <c r="AI141" s="140">
        <v>16</v>
      </c>
      <c r="AJ141" s="140">
        <v>29413225801</v>
      </c>
      <c r="AK141" s="278">
        <v>1</v>
      </c>
    </row>
    <row r="142" spans="1:37" x14ac:dyDescent="0.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300"/>
      <c r="M142" s="301"/>
      <c r="N142" s="301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140" t="s">
        <v>646</v>
      </c>
      <c r="AI142" s="140">
        <v>2</v>
      </c>
      <c r="AJ142" s="140">
        <v>607587</v>
      </c>
      <c r="AK142" s="278">
        <v>0</v>
      </c>
    </row>
    <row r="143" spans="1:37" x14ac:dyDescent="0.2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300"/>
      <c r="M143" s="301"/>
      <c r="N143" s="301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140" t="s">
        <v>647</v>
      </c>
      <c r="AI143" s="140">
        <v>12</v>
      </c>
      <c r="AJ143" s="140">
        <v>3443685517</v>
      </c>
      <c r="AK143" s="278">
        <v>0.95930000000000004</v>
      </c>
    </row>
    <row r="144" spans="1:37" x14ac:dyDescent="0.2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300"/>
      <c r="M144" s="301"/>
      <c r="N144" s="301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140" t="s">
        <v>647</v>
      </c>
      <c r="AI144" s="140">
        <v>2</v>
      </c>
      <c r="AJ144" s="140">
        <v>973284</v>
      </c>
      <c r="AK144" s="278">
        <v>2.9999999999999997E-4</v>
      </c>
    </row>
    <row r="145" spans="1:37" x14ac:dyDescent="0.2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300"/>
      <c r="M145" s="301"/>
      <c r="N145" s="301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140" t="s">
        <v>647</v>
      </c>
      <c r="AI145" s="140">
        <v>3</v>
      </c>
      <c r="AJ145" s="140">
        <v>144998775</v>
      </c>
      <c r="AK145" s="278">
        <v>4.0399999999999998E-2</v>
      </c>
    </row>
    <row r="146" spans="1:37" x14ac:dyDescent="0.2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300"/>
      <c r="M146" s="301"/>
      <c r="N146" s="301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140" t="s">
        <v>648</v>
      </c>
      <c r="AI146" s="140">
        <v>1</v>
      </c>
      <c r="AJ146" s="140">
        <v>1320443081</v>
      </c>
      <c r="AK146" s="278">
        <v>0.19589999999999999</v>
      </c>
    </row>
    <row r="147" spans="1:37" x14ac:dyDescent="0.2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300"/>
      <c r="M147" s="301"/>
      <c r="N147" s="301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140" t="s">
        <v>648</v>
      </c>
      <c r="AI147" s="140">
        <v>2</v>
      </c>
      <c r="AJ147" s="140">
        <v>5418397724</v>
      </c>
      <c r="AK147" s="278">
        <v>0.80400000000000005</v>
      </c>
    </row>
    <row r="148" spans="1:37" x14ac:dyDescent="0.2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300"/>
      <c r="M148" s="301"/>
      <c r="N148" s="301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140" t="s">
        <v>648</v>
      </c>
      <c r="AI148" s="140">
        <v>3</v>
      </c>
      <c r="AJ148" s="140">
        <v>280211</v>
      </c>
      <c r="AK148" s="278">
        <v>0</v>
      </c>
    </row>
    <row r="149" spans="1:37" x14ac:dyDescent="0.2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300"/>
      <c r="M149" s="301"/>
      <c r="N149" s="301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140" t="s">
        <v>649</v>
      </c>
      <c r="AI149" s="140">
        <v>12</v>
      </c>
      <c r="AJ149" s="140">
        <v>6243741884</v>
      </c>
      <c r="AK149" s="278">
        <v>0.99890000000000001</v>
      </c>
    </row>
    <row r="150" spans="1:37" x14ac:dyDescent="0.2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300"/>
      <c r="M150" s="301"/>
      <c r="N150" s="301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  <c r="Z150" s="246"/>
      <c r="AA150" s="246"/>
      <c r="AB150" s="246"/>
      <c r="AC150" s="246"/>
      <c r="AD150" s="246"/>
      <c r="AE150" s="246"/>
      <c r="AF150" s="246"/>
      <c r="AG150" s="246"/>
      <c r="AH150" s="140" t="s">
        <v>649</v>
      </c>
      <c r="AI150" s="140">
        <v>4</v>
      </c>
      <c r="AJ150" s="140">
        <v>6772628</v>
      </c>
      <c r="AK150" s="278">
        <v>1.1000000000000001E-3</v>
      </c>
    </row>
    <row r="151" spans="1:37" x14ac:dyDescent="0.2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300"/>
      <c r="M151" s="301"/>
      <c r="N151" s="301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  <c r="Z151" s="246"/>
      <c r="AA151" s="246"/>
      <c r="AB151" s="246"/>
      <c r="AC151" s="246"/>
      <c r="AD151" s="246"/>
      <c r="AE151" s="246"/>
      <c r="AF151" s="246"/>
      <c r="AG151" s="246"/>
      <c r="AH151" s="140" t="s">
        <v>650</v>
      </c>
      <c r="AI151" s="140">
        <v>11</v>
      </c>
      <c r="AJ151" s="140">
        <v>2613697774</v>
      </c>
      <c r="AK151" s="278">
        <v>0.99929999999999997</v>
      </c>
    </row>
    <row r="152" spans="1:37" x14ac:dyDescent="0.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300"/>
      <c r="M152" s="301"/>
      <c r="N152" s="301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  <c r="Z152" s="246"/>
      <c r="AA152" s="246"/>
      <c r="AB152" s="246"/>
      <c r="AC152" s="246"/>
      <c r="AD152" s="246"/>
      <c r="AE152" s="246"/>
      <c r="AF152" s="246"/>
      <c r="AG152" s="246"/>
      <c r="AH152" s="140" t="s">
        <v>650</v>
      </c>
      <c r="AI152" s="140">
        <v>12</v>
      </c>
      <c r="AJ152" s="140">
        <v>1972277</v>
      </c>
      <c r="AK152" s="278">
        <v>8.0000000000000004E-4</v>
      </c>
    </row>
    <row r="153" spans="1:37" x14ac:dyDescent="0.2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300"/>
      <c r="M153" s="301"/>
      <c r="N153" s="301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246"/>
      <c r="AC153" s="246"/>
      <c r="AD153" s="246"/>
      <c r="AE153" s="246"/>
      <c r="AF153" s="246"/>
      <c r="AG153" s="246"/>
      <c r="AH153" s="140" t="s">
        <v>651</v>
      </c>
      <c r="AI153" s="140">
        <v>11</v>
      </c>
      <c r="AJ153" s="140">
        <v>8475735249</v>
      </c>
      <c r="AK153" s="278">
        <v>0.6452</v>
      </c>
    </row>
    <row r="154" spans="1:37" x14ac:dyDescent="0.2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300"/>
      <c r="M154" s="301"/>
      <c r="N154" s="301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140" t="s">
        <v>651</v>
      </c>
      <c r="AI154" s="140">
        <v>16</v>
      </c>
      <c r="AJ154" s="140">
        <v>4661638769</v>
      </c>
      <c r="AK154" s="278">
        <v>0.3548</v>
      </c>
    </row>
    <row r="155" spans="1:37" x14ac:dyDescent="0.2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300"/>
      <c r="M155" s="301"/>
      <c r="N155" s="301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  <c r="Z155" s="246"/>
      <c r="AA155" s="246"/>
      <c r="AB155" s="246"/>
      <c r="AC155" s="246"/>
      <c r="AD155" s="246"/>
      <c r="AE155" s="246"/>
      <c r="AF155" s="246"/>
      <c r="AG155" s="246"/>
      <c r="AH155" s="140" t="s">
        <v>652</v>
      </c>
      <c r="AI155" s="140">
        <v>11</v>
      </c>
      <c r="AJ155" s="140">
        <v>848653</v>
      </c>
      <c r="AK155" s="278">
        <v>1E-4</v>
      </c>
    </row>
    <row r="156" spans="1:37" x14ac:dyDescent="0.2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300"/>
      <c r="M156" s="301"/>
      <c r="N156" s="301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  <c r="Z156" s="246"/>
      <c r="AA156" s="246"/>
      <c r="AB156" s="246"/>
      <c r="AC156" s="246"/>
      <c r="AD156" s="246"/>
      <c r="AE156" s="246"/>
      <c r="AF156" s="246"/>
      <c r="AG156" s="246"/>
      <c r="AH156" s="140" t="s">
        <v>652</v>
      </c>
      <c r="AI156" s="140">
        <v>16</v>
      </c>
      <c r="AJ156" s="140">
        <v>12022047798</v>
      </c>
      <c r="AK156" s="278">
        <v>0.83209999999999995</v>
      </c>
    </row>
    <row r="157" spans="1:37" x14ac:dyDescent="0.2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300"/>
      <c r="M157" s="301"/>
      <c r="N157" s="301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  <c r="Z157" s="246"/>
      <c r="AA157" s="246"/>
      <c r="AB157" s="246"/>
      <c r="AC157" s="246"/>
      <c r="AD157" s="246"/>
      <c r="AE157" s="246"/>
      <c r="AF157" s="246"/>
      <c r="AG157" s="246"/>
      <c r="AH157" s="140" t="s">
        <v>652</v>
      </c>
      <c r="AI157" s="140">
        <v>2</v>
      </c>
      <c r="AJ157" s="140">
        <v>2425474079</v>
      </c>
      <c r="AK157" s="278">
        <v>0.16789999999999999</v>
      </c>
    </row>
    <row r="158" spans="1:37" x14ac:dyDescent="0.2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300"/>
      <c r="M158" s="301"/>
      <c r="N158" s="301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  <c r="Z158" s="246"/>
      <c r="AA158" s="246"/>
      <c r="AB158" s="246"/>
      <c r="AC158" s="246"/>
      <c r="AD158" s="246"/>
      <c r="AE158" s="246"/>
      <c r="AF158" s="246"/>
      <c r="AG158" s="246"/>
      <c r="AH158" s="140" t="s">
        <v>653</v>
      </c>
      <c r="AI158" s="140">
        <v>13</v>
      </c>
      <c r="AJ158" s="140">
        <v>9652881409</v>
      </c>
      <c r="AK158" s="278">
        <v>0.50029999999999997</v>
      </c>
    </row>
    <row r="159" spans="1:37" x14ac:dyDescent="0.2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300"/>
      <c r="M159" s="301"/>
      <c r="N159" s="301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  <c r="Z159" s="246"/>
      <c r="AA159" s="246"/>
      <c r="AB159" s="246"/>
      <c r="AC159" s="246"/>
      <c r="AD159" s="246"/>
      <c r="AE159" s="246"/>
      <c r="AF159" s="246"/>
      <c r="AG159" s="246"/>
      <c r="AH159" s="140" t="s">
        <v>653</v>
      </c>
      <c r="AI159" s="140">
        <v>16</v>
      </c>
      <c r="AJ159" s="140">
        <v>9641974500</v>
      </c>
      <c r="AK159" s="278">
        <v>0.49969999999999998</v>
      </c>
    </row>
    <row r="160" spans="1:37" x14ac:dyDescent="0.2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300"/>
      <c r="M160" s="301"/>
      <c r="N160" s="301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  <c r="Z160" s="246"/>
      <c r="AA160" s="246"/>
      <c r="AB160" s="246"/>
      <c r="AC160" s="246"/>
      <c r="AD160" s="246"/>
      <c r="AE160" s="246"/>
      <c r="AF160" s="246"/>
      <c r="AG160" s="246"/>
      <c r="AH160" s="140" t="s">
        <v>654</v>
      </c>
      <c r="AI160" s="140">
        <v>12</v>
      </c>
      <c r="AJ160" s="140">
        <v>2072333639</v>
      </c>
      <c r="AK160" s="278">
        <v>0.21790000000000001</v>
      </c>
    </row>
    <row r="161" spans="1:37" x14ac:dyDescent="0.2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300"/>
      <c r="M161" s="301"/>
      <c r="N161" s="301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  <c r="Z161" s="246"/>
      <c r="AA161" s="246"/>
      <c r="AB161" s="246"/>
      <c r="AC161" s="246"/>
      <c r="AD161" s="246"/>
      <c r="AE161" s="246"/>
      <c r="AF161" s="246"/>
      <c r="AG161" s="246"/>
      <c r="AH161" s="140" t="s">
        <v>654</v>
      </c>
      <c r="AI161" s="140">
        <v>16</v>
      </c>
      <c r="AJ161" s="140">
        <v>7437041499</v>
      </c>
      <c r="AK161" s="278">
        <v>0.78210000000000002</v>
      </c>
    </row>
    <row r="162" spans="1:37" x14ac:dyDescent="0.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300"/>
      <c r="M162" s="301"/>
      <c r="N162" s="301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246"/>
      <c r="AB162" s="246"/>
      <c r="AC162" s="246"/>
      <c r="AD162" s="246"/>
      <c r="AE162" s="246"/>
      <c r="AF162" s="246"/>
      <c r="AG162" s="246"/>
      <c r="AH162" s="140" t="s">
        <v>655</v>
      </c>
      <c r="AI162" s="140">
        <v>13</v>
      </c>
      <c r="AJ162" s="140">
        <v>282549</v>
      </c>
      <c r="AK162" s="278">
        <v>0</v>
      </c>
    </row>
    <row r="163" spans="1:37" x14ac:dyDescent="0.2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300"/>
      <c r="M163" s="301"/>
      <c r="N163" s="301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  <c r="Z163" s="246"/>
      <c r="AA163" s="246"/>
      <c r="AB163" s="246"/>
      <c r="AC163" s="246"/>
      <c r="AD163" s="246"/>
      <c r="AE163" s="246"/>
      <c r="AF163" s="246"/>
      <c r="AG163" s="246"/>
      <c r="AH163" s="140" t="s">
        <v>655</v>
      </c>
      <c r="AI163" s="140">
        <v>16</v>
      </c>
      <c r="AJ163" s="140">
        <v>3830751759</v>
      </c>
      <c r="AK163" s="278">
        <v>0.54679999999999995</v>
      </c>
    </row>
    <row r="164" spans="1:37" x14ac:dyDescent="0.2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300"/>
      <c r="M164" s="301"/>
      <c r="N164" s="301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46"/>
      <c r="AF164" s="246"/>
      <c r="AG164" s="246"/>
      <c r="AH164" s="140" t="s">
        <v>655</v>
      </c>
      <c r="AI164" s="140">
        <v>4</v>
      </c>
      <c r="AJ164" s="140">
        <v>1046</v>
      </c>
      <c r="AK164" s="278">
        <v>0</v>
      </c>
    </row>
    <row r="165" spans="1:37" x14ac:dyDescent="0.2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300"/>
      <c r="M165" s="301"/>
      <c r="N165" s="301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140" t="s">
        <v>655</v>
      </c>
      <c r="AI165" s="140">
        <v>5</v>
      </c>
      <c r="AJ165" s="140">
        <v>329506</v>
      </c>
      <c r="AK165" s="278">
        <v>1E-4</v>
      </c>
    </row>
    <row r="166" spans="1:37" x14ac:dyDescent="0.2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300"/>
      <c r="M166" s="301"/>
      <c r="N166" s="301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  <c r="Z166" s="246"/>
      <c r="AA166" s="246"/>
      <c r="AB166" s="246"/>
      <c r="AC166" s="246"/>
      <c r="AD166" s="246"/>
      <c r="AE166" s="246"/>
      <c r="AF166" s="246"/>
      <c r="AG166" s="246"/>
      <c r="AH166" s="140" t="s">
        <v>655</v>
      </c>
      <c r="AI166" s="140">
        <v>6</v>
      </c>
      <c r="AJ166" s="140">
        <v>1077085077</v>
      </c>
      <c r="AK166" s="278">
        <v>0.1537</v>
      </c>
    </row>
    <row r="167" spans="1:37" x14ac:dyDescent="0.2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300"/>
      <c r="M167" s="301"/>
      <c r="N167" s="301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  <c r="Z167" s="246"/>
      <c r="AA167" s="246"/>
      <c r="AB167" s="246"/>
      <c r="AC167" s="246"/>
      <c r="AD167" s="246"/>
      <c r="AE167" s="246"/>
      <c r="AF167" s="246"/>
      <c r="AG167" s="246"/>
      <c r="AH167" s="140" t="s">
        <v>655</v>
      </c>
      <c r="AI167" s="140">
        <v>9</v>
      </c>
      <c r="AJ167" s="140">
        <v>2097411006</v>
      </c>
      <c r="AK167" s="278">
        <v>0.2994</v>
      </c>
    </row>
    <row r="168" spans="1:37" x14ac:dyDescent="0.2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300"/>
      <c r="M168" s="301"/>
      <c r="N168" s="301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140" t="s">
        <v>656</v>
      </c>
      <c r="AI168" s="140">
        <v>11</v>
      </c>
      <c r="AJ168" s="140">
        <v>2608981</v>
      </c>
      <c r="AK168" s="278">
        <v>5.9999999999999995E-4</v>
      </c>
    </row>
    <row r="169" spans="1:37" x14ac:dyDescent="0.2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300"/>
      <c r="M169" s="301"/>
      <c r="N169" s="301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  <c r="Z169" s="246"/>
      <c r="AA169" s="246"/>
      <c r="AB169" s="246"/>
      <c r="AC169" s="246"/>
      <c r="AD169" s="246"/>
      <c r="AE169" s="246"/>
      <c r="AF169" s="246"/>
      <c r="AG169" s="246"/>
      <c r="AH169" s="140" t="s">
        <v>656</v>
      </c>
      <c r="AI169" s="140">
        <v>12</v>
      </c>
      <c r="AJ169" s="140">
        <v>4346245632</v>
      </c>
      <c r="AK169" s="278">
        <v>0.99750000000000005</v>
      </c>
    </row>
    <row r="170" spans="1:37" x14ac:dyDescent="0.2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300"/>
      <c r="M170" s="301"/>
      <c r="N170" s="301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  <c r="Z170" s="246"/>
      <c r="AA170" s="246"/>
      <c r="AB170" s="246"/>
      <c r="AC170" s="246"/>
      <c r="AD170" s="246"/>
      <c r="AE170" s="246"/>
      <c r="AF170" s="246"/>
      <c r="AG170" s="246"/>
      <c r="AH170" s="140" t="s">
        <v>656</v>
      </c>
      <c r="AI170" s="140">
        <v>2</v>
      </c>
      <c r="AJ170" s="140">
        <v>8445141</v>
      </c>
      <c r="AK170" s="278">
        <v>1.9E-3</v>
      </c>
    </row>
    <row r="171" spans="1:37" x14ac:dyDescent="0.2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300"/>
      <c r="M171" s="301"/>
      <c r="N171" s="301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6"/>
      <c r="AA171" s="246"/>
      <c r="AB171" s="246"/>
      <c r="AC171" s="246"/>
      <c r="AD171" s="246"/>
      <c r="AE171" s="246"/>
      <c r="AF171" s="246"/>
      <c r="AG171" s="246"/>
      <c r="AH171" s="140" t="s">
        <v>657</v>
      </c>
      <c r="AI171" s="140">
        <v>11</v>
      </c>
      <c r="AJ171" s="140">
        <v>2208045507</v>
      </c>
      <c r="AK171" s="278">
        <v>0.79239999999999999</v>
      </c>
    </row>
    <row r="172" spans="1:37" x14ac:dyDescent="0.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300"/>
      <c r="M172" s="301"/>
      <c r="N172" s="301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6"/>
      <c r="AA172" s="246"/>
      <c r="AB172" s="246"/>
      <c r="AC172" s="246"/>
      <c r="AD172" s="246"/>
      <c r="AE172" s="246"/>
      <c r="AF172" s="246"/>
      <c r="AG172" s="246"/>
      <c r="AH172" s="140" t="s">
        <v>657</v>
      </c>
      <c r="AI172" s="140">
        <v>16</v>
      </c>
      <c r="AJ172" s="140">
        <v>578664508</v>
      </c>
      <c r="AK172" s="278">
        <v>0.2077</v>
      </c>
    </row>
    <row r="173" spans="1:37" x14ac:dyDescent="0.2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300"/>
      <c r="M173" s="301"/>
      <c r="N173" s="301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  <c r="Z173" s="246"/>
      <c r="AA173" s="246"/>
      <c r="AB173" s="246"/>
      <c r="AC173" s="246"/>
      <c r="AD173" s="246"/>
      <c r="AE173" s="246"/>
      <c r="AF173" s="246"/>
      <c r="AG173" s="246"/>
      <c r="AH173" s="246"/>
      <c r="AI173" s="246"/>
      <c r="AJ173" s="246"/>
      <c r="AK173" s="246"/>
    </row>
    <row r="174" spans="1:37" x14ac:dyDescent="0.2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300"/>
      <c r="M174" s="301"/>
      <c r="N174" s="301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246"/>
      <c r="AB174" s="246"/>
      <c r="AC174" s="246"/>
      <c r="AD174" s="246"/>
      <c r="AE174" s="246"/>
      <c r="AF174" s="246"/>
      <c r="AG174" s="246"/>
      <c r="AH174" s="246"/>
      <c r="AI174" s="246"/>
      <c r="AJ174" s="246"/>
      <c r="AK174" s="246"/>
    </row>
    <row r="175" spans="1:37" x14ac:dyDescent="0.2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300"/>
      <c r="M175" s="301"/>
      <c r="N175" s="301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6"/>
      <c r="AA175" s="246"/>
      <c r="AB175" s="246"/>
      <c r="AC175" s="246"/>
      <c r="AD175" s="246"/>
      <c r="AE175" s="246"/>
      <c r="AF175" s="246"/>
      <c r="AG175" s="246"/>
      <c r="AH175" s="246"/>
      <c r="AI175" s="246"/>
      <c r="AJ175" s="246"/>
      <c r="AK175" s="246"/>
    </row>
    <row r="176" spans="1:37" x14ac:dyDescent="0.2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300"/>
      <c r="M176" s="301"/>
      <c r="N176" s="301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6"/>
      <c r="AA176" s="246"/>
      <c r="AB176" s="246"/>
      <c r="AC176" s="246"/>
      <c r="AD176" s="246"/>
      <c r="AE176" s="246"/>
      <c r="AF176" s="246"/>
      <c r="AG176" s="246"/>
      <c r="AH176" s="246"/>
      <c r="AI176" s="246"/>
      <c r="AJ176" s="246"/>
      <c r="AK176" s="246"/>
    </row>
    <row r="177" spans="1:37" x14ac:dyDescent="0.2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300"/>
      <c r="M177" s="301"/>
      <c r="N177" s="301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6"/>
      <c r="AA177" s="246"/>
      <c r="AB177" s="246"/>
      <c r="AC177" s="246"/>
      <c r="AD177" s="246"/>
      <c r="AE177" s="246"/>
      <c r="AF177" s="246"/>
      <c r="AG177" s="246"/>
      <c r="AH177" s="246"/>
      <c r="AI177" s="246"/>
      <c r="AJ177" s="246"/>
      <c r="AK177" s="246"/>
    </row>
    <row r="178" spans="1:37" x14ac:dyDescent="0.2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300"/>
      <c r="M178" s="301"/>
      <c r="N178" s="301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6"/>
      <c r="AA178" s="246"/>
      <c r="AB178" s="246"/>
      <c r="AC178" s="246"/>
      <c r="AD178" s="246"/>
      <c r="AE178" s="246"/>
      <c r="AF178" s="246"/>
      <c r="AG178" s="246"/>
      <c r="AH178" s="246"/>
      <c r="AI178" s="246"/>
      <c r="AJ178" s="246"/>
      <c r="AK178" s="246"/>
    </row>
    <row r="179" spans="1:37" x14ac:dyDescent="0.2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300"/>
      <c r="M179" s="301"/>
      <c r="N179" s="301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6"/>
      <c r="AA179" s="246"/>
      <c r="AB179" s="246"/>
      <c r="AC179" s="246"/>
      <c r="AD179" s="246"/>
      <c r="AE179" s="246"/>
      <c r="AF179" s="246"/>
      <c r="AG179" s="246"/>
      <c r="AH179" s="246"/>
      <c r="AI179" s="246"/>
      <c r="AJ179" s="246"/>
      <c r="AK179" s="246"/>
    </row>
    <row r="180" spans="1:37" x14ac:dyDescent="0.2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300"/>
      <c r="M180" s="301"/>
      <c r="N180" s="301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46"/>
      <c r="AK180" s="246"/>
    </row>
    <row r="181" spans="1:37" x14ac:dyDescent="0.2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300"/>
      <c r="M181" s="301"/>
      <c r="N181" s="301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46"/>
      <c r="AK181" s="246"/>
    </row>
    <row r="182" spans="1:37" x14ac:dyDescent="0.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300"/>
      <c r="M182" s="301"/>
      <c r="N182" s="301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6"/>
      <c r="AA182" s="246"/>
      <c r="AB182" s="246"/>
      <c r="AC182" s="246"/>
      <c r="AD182" s="246"/>
      <c r="AE182" s="246"/>
      <c r="AF182" s="246"/>
      <c r="AG182" s="246"/>
      <c r="AH182" s="246"/>
      <c r="AI182" s="246"/>
      <c r="AJ182" s="246"/>
      <c r="AK182" s="246"/>
    </row>
    <row r="183" spans="1:37" x14ac:dyDescent="0.2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300"/>
      <c r="M183" s="301"/>
      <c r="N183" s="301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6"/>
      <c r="AA183" s="246"/>
      <c r="AB183" s="246"/>
      <c r="AC183" s="246"/>
      <c r="AD183" s="246"/>
      <c r="AE183" s="246"/>
      <c r="AF183" s="246"/>
      <c r="AG183" s="246"/>
      <c r="AH183" s="246"/>
      <c r="AI183" s="246"/>
      <c r="AJ183" s="246"/>
      <c r="AK183" s="246"/>
    </row>
    <row r="184" spans="1:37" x14ac:dyDescent="0.2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300"/>
      <c r="M184" s="301"/>
      <c r="N184" s="301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46"/>
      <c r="AG184" s="246"/>
      <c r="AH184" s="246"/>
      <c r="AI184" s="246"/>
      <c r="AJ184" s="246"/>
      <c r="AK184" s="246"/>
    </row>
    <row r="185" spans="1:37" x14ac:dyDescent="0.2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300"/>
      <c r="M185" s="301"/>
      <c r="N185" s="301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  <c r="Z185" s="246"/>
      <c r="AA185" s="246"/>
      <c r="AB185" s="246"/>
      <c r="AC185" s="246"/>
      <c r="AD185" s="246"/>
      <c r="AE185" s="246"/>
      <c r="AF185" s="246"/>
      <c r="AG185" s="246"/>
      <c r="AH185" s="246"/>
      <c r="AI185" s="246"/>
      <c r="AJ185" s="246"/>
      <c r="AK185" s="246"/>
    </row>
    <row r="186" spans="1:37" x14ac:dyDescent="0.2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300"/>
      <c r="M186" s="301"/>
      <c r="N186" s="301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  <c r="Z186" s="246"/>
      <c r="AA186" s="246"/>
      <c r="AB186" s="246"/>
      <c r="AC186" s="246"/>
      <c r="AD186" s="246"/>
      <c r="AE186" s="246"/>
      <c r="AF186" s="246"/>
      <c r="AG186" s="246"/>
      <c r="AH186" s="246"/>
      <c r="AI186" s="246"/>
      <c r="AJ186" s="246"/>
      <c r="AK186" s="246"/>
    </row>
    <row r="187" spans="1:37" x14ac:dyDescent="0.2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300"/>
      <c r="M187" s="301"/>
      <c r="N187" s="301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  <c r="Z187" s="246"/>
      <c r="AA187" s="246"/>
      <c r="AB187" s="246"/>
      <c r="AC187" s="246"/>
      <c r="AD187" s="246"/>
      <c r="AE187" s="246"/>
      <c r="AF187" s="246"/>
      <c r="AG187" s="246"/>
      <c r="AH187" s="246"/>
      <c r="AI187" s="246"/>
      <c r="AJ187" s="246"/>
      <c r="AK187" s="246"/>
    </row>
    <row r="188" spans="1:37" x14ac:dyDescent="0.2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300"/>
      <c r="M188" s="301"/>
      <c r="N188" s="301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  <c r="Z188" s="246"/>
      <c r="AA188" s="246"/>
      <c r="AB188" s="246"/>
      <c r="AC188" s="246"/>
      <c r="AD188" s="246"/>
      <c r="AE188" s="246"/>
      <c r="AF188" s="246"/>
      <c r="AG188" s="246"/>
      <c r="AH188" s="246"/>
      <c r="AI188" s="246"/>
      <c r="AJ188" s="246"/>
      <c r="AK188" s="246"/>
    </row>
    <row r="189" spans="1:37" x14ac:dyDescent="0.2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300"/>
      <c r="M189" s="301"/>
      <c r="N189" s="301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  <c r="Z189" s="246"/>
      <c r="AA189" s="246"/>
      <c r="AB189" s="246"/>
      <c r="AC189" s="246"/>
      <c r="AD189" s="246"/>
      <c r="AE189" s="246"/>
      <c r="AF189" s="246"/>
      <c r="AG189" s="246"/>
      <c r="AH189" s="246"/>
      <c r="AI189" s="246"/>
      <c r="AJ189" s="246"/>
      <c r="AK189" s="246"/>
    </row>
    <row r="190" spans="1:37" x14ac:dyDescent="0.2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300"/>
      <c r="M190" s="301"/>
      <c r="N190" s="301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  <c r="Z190" s="246"/>
      <c r="AA190" s="246"/>
      <c r="AB190" s="246"/>
      <c r="AC190" s="246"/>
      <c r="AD190" s="246"/>
      <c r="AE190" s="246"/>
      <c r="AF190" s="246"/>
      <c r="AG190" s="246"/>
      <c r="AH190" s="246"/>
      <c r="AI190" s="246"/>
      <c r="AJ190" s="246"/>
      <c r="AK190" s="246"/>
    </row>
    <row r="191" spans="1:37" x14ac:dyDescent="0.2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300"/>
      <c r="M191" s="301"/>
      <c r="N191" s="301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246"/>
      <c r="AB191" s="246"/>
      <c r="AC191" s="246"/>
      <c r="AD191" s="246"/>
      <c r="AE191" s="246"/>
      <c r="AF191" s="246"/>
      <c r="AG191" s="246"/>
      <c r="AH191" s="246"/>
      <c r="AI191" s="246"/>
      <c r="AJ191" s="246"/>
      <c r="AK191" s="246"/>
    </row>
    <row r="192" spans="1:37" x14ac:dyDescent="0.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300"/>
      <c r="M192" s="301"/>
      <c r="N192" s="301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  <c r="Z192" s="246"/>
      <c r="AA192" s="246"/>
      <c r="AB192" s="246"/>
      <c r="AC192" s="246"/>
      <c r="AD192" s="246"/>
      <c r="AE192" s="246"/>
      <c r="AF192" s="246"/>
      <c r="AG192" s="246"/>
      <c r="AH192" s="246"/>
      <c r="AI192" s="246"/>
      <c r="AJ192" s="246"/>
      <c r="AK192" s="246"/>
    </row>
    <row r="193" spans="1:37" x14ac:dyDescent="0.2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300"/>
      <c r="M193" s="301"/>
      <c r="N193" s="301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  <c r="Z193" s="246"/>
      <c r="AA193" s="246"/>
      <c r="AB193" s="246"/>
      <c r="AC193" s="246"/>
      <c r="AD193" s="246"/>
      <c r="AE193" s="246"/>
      <c r="AF193" s="246"/>
      <c r="AG193" s="246"/>
      <c r="AH193" s="246"/>
      <c r="AI193" s="246"/>
      <c r="AJ193" s="246"/>
      <c r="AK193" s="246"/>
    </row>
    <row r="194" spans="1:37" x14ac:dyDescent="0.2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300"/>
      <c r="M194" s="301"/>
      <c r="N194" s="301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  <c r="Z194" s="246"/>
      <c r="AA194" s="246"/>
      <c r="AB194" s="246"/>
      <c r="AC194" s="246"/>
      <c r="AD194" s="246"/>
      <c r="AE194" s="246"/>
      <c r="AF194" s="246"/>
      <c r="AG194" s="246"/>
      <c r="AH194" s="246"/>
      <c r="AI194" s="246"/>
      <c r="AJ194" s="246"/>
      <c r="AK194" s="246"/>
    </row>
    <row r="195" spans="1:37" x14ac:dyDescent="0.2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300"/>
      <c r="M195" s="301"/>
      <c r="N195" s="301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  <c r="Z195" s="246"/>
      <c r="AA195" s="246"/>
      <c r="AB195" s="246"/>
      <c r="AC195" s="246"/>
      <c r="AD195" s="246"/>
      <c r="AE195" s="246"/>
      <c r="AF195" s="246"/>
      <c r="AG195" s="246"/>
      <c r="AH195" s="246"/>
      <c r="AI195" s="246"/>
      <c r="AJ195" s="246"/>
      <c r="AK195" s="246"/>
    </row>
    <row r="196" spans="1:37" x14ac:dyDescent="0.2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300"/>
      <c r="M196" s="301"/>
      <c r="N196" s="301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  <c r="Z196" s="246"/>
      <c r="AA196" s="246"/>
      <c r="AB196" s="246"/>
      <c r="AC196" s="246"/>
      <c r="AD196" s="246"/>
      <c r="AE196" s="246"/>
      <c r="AF196" s="246"/>
      <c r="AG196" s="246"/>
      <c r="AH196" s="246"/>
      <c r="AI196" s="246"/>
      <c r="AJ196" s="246"/>
      <c r="AK196" s="246"/>
    </row>
    <row r="197" spans="1:37" x14ac:dyDescent="0.2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300"/>
      <c r="M197" s="301"/>
      <c r="N197" s="301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  <c r="Z197" s="246"/>
      <c r="AA197" s="246"/>
      <c r="AB197" s="246"/>
      <c r="AC197" s="246"/>
      <c r="AD197" s="246"/>
      <c r="AE197" s="246"/>
      <c r="AF197" s="246"/>
      <c r="AG197" s="246"/>
      <c r="AH197" s="246"/>
      <c r="AI197" s="246"/>
      <c r="AJ197" s="246"/>
      <c r="AK197" s="246"/>
    </row>
    <row r="198" spans="1:37" x14ac:dyDescent="0.2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300"/>
      <c r="M198" s="301"/>
      <c r="N198" s="301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  <c r="Z198" s="246"/>
      <c r="AA198" s="246"/>
      <c r="AB198" s="246"/>
      <c r="AC198" s="246"/>
      <c r="AD198" s="246"/>
      <c r="AE198" s="246"/>
      <c r="AF198" s="246"/>
      <c r="AG198" s="246"/>
      <c r="AH198" s="246"/>
      <c r="AI198" s="246"/>
      <c r="AJ198" s="246"/>
      <c r="AK198" s="246"/>
    </row>
    <row r="199" spans="1:37" x14ac:dyDescent="0.2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300"/>
      <c r="M199" s="301"/>
      <c r="N199" s="301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</row>
    <row r="200" spans="1:37" x14ac:dyDescent="0.2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300"/>
      <c r="M200" s="301"/>
      <c r="N200" s="301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  <c r="Z200" s="246"/>
      <c r="AA200" s="246"/>
      <c r="AB200" s="246"/>
      <c r="AC200" s="246"/>
      <c r="AD200" s="246"/>
      <c r="AE200" s="246"/>
      <c r="AF200" s="246"/>
      <c r="AG200" s="246"/>
      <c r="AH200" s="246"/>
      <c r="AI200" s="246"/>
      <c r="AJ200" s="246"/>
      <c r="AK200" s="246"/>
    </row>
    <row r="201" spans="1:37" x14ac:dyDescent="0.2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300"/>
      <c r="M201" s="301"/>
      <c r="N201" s="301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  <c r="Z201" s="246"/>
      <c r="AA201" s="246"/>
      <c r="AB201" s="246"/>
      <c r="AC201" s="246"/>
      <c r="AD201" s="246"/>
      <c r="AE201" s="246"/>
      <c r="AF201" s="246"/>
      <c r="AG201" s="246"/>
      <c r="AH201" s="246"/>
      <c r="AI201" s="246"/>
      <c r="AJ201" s="246"/>
      <c r="AK201" s="246"/>
    </row>
    <row r="202" spans="1:37" x14ac:dyDescent="0.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300"/>
      <c r="M202" s="301"/>
      <c r="N202" s="301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  <c r="Z202" s="246"/>
      <c r="AA202" s="246"/>
      <c r="AB202" s="246"/>
      <c r="AC202" s="246"/>
      <c r="AD202" s="246"/>
      <c r="AE202" s="246"/>
      <c r="AF202" s="246"/>
      <c r="AG202" s="246"/>
      <c r="AH202" s="246"/>
      <c r="AI202" s="246"/>
      <c r="AJ202" s="246"/>
      <c r="AK202" s="246"/>
    </row>
    <row r="203" spans="1:37" x14ac:dyDescent="0.2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300"/>
      <c r="M203" s="301"/>
      <c r="N203" s="301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  <c r="Z203" s="246"/>
      <c r="AA203" s="246"/>
      <c r="AB203" s="246"/>
      <c r="AC203" s="246"/>
      <c r="AD203" s="246"/>
      <c r="AE203" s="246"/>
      <c r="AF203" s="246"/>
      <c r="AG203" s="246"/>
      <c r="AH203" s="246"/>
      <c r="AI203" s="246"/>
      <c r="AJ203" s="246"/>
      <c r="AK203" s="246"/>
    </row>
    <row r="204" spans="1:37" x14ac:dyDescent="0.2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300"/>
      <c r="M204" s="301"/>
      <c r="N204" s="301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  <c r="Z204" s="246"/>
      <c r="AA204" s="246"/>
      <c r="AB204" s="246"/>
      <c r="AC204" s="246"/>
      <c r="AD204" s="246"/>
      <c r="AE204" s="246"/>
      <c r="AF204" s="246"/>
      <c r="AG204" s="246"/>
      <c r="AH204" s="246"/>
      <c r="AI204" s="246"/>
      <c r="AJ204" s="246"/>
      <c r="AK204" s="246"/>
    </row>
    <row r="205" spans="1:37" x14ac:dyDescent="0.2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300"/>
      <c r="M205" s="301"/>
      <c r="N205" s="301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  <c r="Z205" s="246"/>
      <c r="AA205" s="246"/>
      <c r="AB205" s="246"/>
      <c r="AC205" s="246"/>
      <c r="AD205" s="246"/>
      <c r="AE205" s="246"/>
      <c r="AF205" s="246"/>
      <c r="AG205" s="246"/>
      <c r="AH205" s="246"/>
      <c r="AI205" s="246"/>
      <c r="AJ205" s="246"/>
      <c r="AK205" s="246"/>
    </row>
    <row r="206" spans="1:37" x14ac:dyDescent="0.2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300"/>
      <c r="M206" s="301"/>
      <c r="N206" s="301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246"/>
      <c r="AB206" s="246"/>
      <c r="AC206" s="246"/>
      <c r="AD206" s="246"/>
      <c r="AE206" s="246"/>
      <c r="AF206" s="246"/>
      <c r="AG206" s="246"/>
      <c r="AH206" s="246"/>
      <c r="AI206" s="246"/>
      <c r="AJ206" s="246"/>
      <c r="AK206" s="246"/>
    </row>
    <row r="207" spans="1:37" x14ac:dyDescent="0.2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300"/>
      <c r="M207" s="301"/>
      <c r="N207" s="301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  <c r="Z207" s="246"/>
      <c r="AA207" s="246"/>
      <c r="AB207" s="246"/>
      <c r="AC207" s="246"/>
      <c r="AD207" s="246"/>
      <c r="AE207" s="246"/>
      <c r="AF207" s="246"/>
      <c r="AG207" s="246"/>
      <c r="AH207" s="246"/>
      <c r="AI207" s="246"/>
      <c r="AJ207" s="246"/>
      <c r="AK207" s="246"/>
    </row>
    <row r="208" spans="1:37" x14ac:dyDescent="0.2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300"/>
      <c r="M208" s="301"/>
      <c r="N208" s="301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  <c r="Z208" s="246"/>
      <c r="AA208" s="246"/>
      <c r="AB208" s="246"/>
      <c r="AC208" s="246"/>
      <c r="AD208" s="246"/>
      <c r="AE208" s="246"/>
      <c r="AF208" s="246"/>
      <c r="AG208" s="246"/>
      <c r="AH208" s="246"/>
      <c r="AI208" s="246"/>
      <c r="AJ208" s="246"/>
      <c r="AK208" s="246"/>
    </row>
    <row r="209" spans="1:37" x14ac:dyDescent="0.2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300"/>
      <c r="M209" s="301"/>
      <c r="N209" s="301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  <c r="Z209" s="246"/>
      <c r="AA209" s="246"/>
      <c r="AB209" s="246"/>
      <c r="AC209" s="246"/>
      <c r="AD209" s="246"/>
      <c r="AE209" s="246"/>
      <c r="AF209" s="246"/>
      <c r="AG209" s="246"/>
      <c r="AH209" s="246"/>
      <c r="AI209" s="246"/>
      <c r="AJ209" s="246"/>
      <c r="AK209" s="246"/>
    </row>
    <row r="210" spans="1:37" x14ac:dyDescent="0.2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300"/>
      <c r="M210" s="301"/>
      <c r="N210" s="301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  <c r="Z210" s="246"/>
      <c r="AA210" s="246"/>
      <c r="AB210" s="246"/>
      <c r="AC210" s="246"/>
      <c r="AD210" s="246"/>
      <c r="AE210" s="246"/>
      <c r="AF210" s="246"/>
      <c r="AG210" s="246"/>
      <c r="AH210" s="246"/>
      <c r="AI210" s="246"/>
      <c r="AJ210" s="246"/>
      <c r="AK210" s="246"/>
    </row>
    <row r="211" spans="1:37" x14ac:dyDescent="0.2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300"/>
      <c r="M211" s="301"/>
      <c r="N211" s="301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  <c r="Z211" s="246"/>
      <c r="AA211" s="246"/>
      <c r="AB211" s="246"/>
      <c r="AC211" s="246"/>
      <c r="AD211" s="246"/>
      <c r="AE211" s="246"/>
      <c r="AF211" s="246"/>
      <c r="AG211" s="246"/>
      <c r="AH211" s="246"/>
      <c r="AI211" s="246"/>
      <c r="AJ211" s="246"/>
      <c r="AK211" s="246"/>
    </row>
    <row r="212" spans="1:37" x14ac:dyDescent="0.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300"/>
      <c r="M212" s="301"/>
      <c r="N212" s="301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246"/>
      <c r="AB212" s="246"/>
      <c r="AC212" s="246"/>
      <c r="AD212" s="246"/>
      <c r="AE212" s="246"/>
      <c r="AF212" s="246"/>
      <c r="AG212" s="246"/>
      <c r="AH212" s="246"/>
      <c r="AI212" s="246"/>
      <c r="AJ212" s="246"/>
      <c r="AK212" s="246"/>
    </row>
    <row r="213" spans="1:37" x14ac:dyDescent="0.2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300"/>
      <c r="M213" s="301"/>
      <c r="N213" s="301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  <c r="Z213" s="246"/>
      <c r="AA213" s="246"/>
      <c r="AB213" s="246"/>
      <c r="AC213" s="246"/>
      <c r="AD213" s="246"/>
      <c r="AE213" s="246"/>
      <c r="AF213" s="246"/>
      <c r="AG213" s="246"/>
      <c r="AH213" s="246"/>
      <c r="AI213" s="246"/>
      <c r="AJ213" s="246"/>
      <c r="AK213" s="246"/>
    </row>
    <row r="214" spans="1:37" x14ac:dyDescent="0.2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300"/>
      <c r="M214" s="301"/>
      <c r="N214" s="301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  <c r="Z214" s="246"/>
      <c r="AA214" s="246"/>
      <c r="AB214" s="246"/>
      <c r="AC214" s="246"/>
      <c r="AD214" s="246"/>
      <c r="AE214" s="246"/>
      <c r="AF214" s="246"/>
      <c r="AG214" s="246"/>
      <c r="AH214" s="246"/>
      <c r="AI214" s="246"/>
      <c r="AJ214" s="246"/>
      <c r="AK214" s="246"/>
    </row>
    <row r="215" spans="1:37" x14ac:dyDescent="0.2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300"/>
      <c r="M215" s="301"/>
      <c r="N215" s="301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  <c r="Z215" s="246"/>
      <c r="AA215" s="246"/>
      <c r="AB215" s="246"/>
      <c r="AC215" s="246"/>
      <c r="AD215" s="246"/>
      <c r="AE215" s="246"/>
      <c r="AF215" s="246"/>
      <c r="AG215" s="246"/>
      <c r="AH215" s="246"/>
      <c r="AI215" s="246"/>
      <c r="AJ215" s="246"/>
      <c r="AK215" s="246"/>
    </row>
    <row r="216" spans="1:37" x14ac:dyDescent="0.2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300"/>
      <c r="M216" s="301"/>
      <c r="N216" s="301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  <c r="Z216" s="246"/>
      <c r="AA216" s="246"/>
      <c r="AB216" s="246"/>
      <c r="AC216" s="246"/>
      <c r="AD216" s="246"/>
      <c r="AE216" s="246"/>
      <c r="AF216" s="246"/>
      <c r="AG216" s="246"/>
      <c r="AH216" s="246"/>
      <c r="AI216" s="246"/>
      <c r="AJ216" s="246"/>
      <c r="AK216" s="246"/>
    </row>
    <row r="217" spans="1:37" x14ac:dyDescent="0.2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300"/>
      <c r="M217" s="301"/>
      <c r="N217" s="301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  <c r="Z217" s="246"/>
      <c r="AA217" s="246"/>
      <c r="AB217" s="246"/>
      <c r="AC217" s="246"/>
      <c r="AD217" s="246"/>
      <c r="AE217" s="246"/>
      <c r="AF217" s="246"/>
      <c r="AG217" s="246"/>
      <c r="AH217" s="246"/>
      <c r="AI217" s="246"/>
      <c r="AJ217" s="246"/>
      <c r="AK217" s="246"/>
    </row>
    <row r="218" spans="1:37" x14ac:dyDescent="0.2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300"/>
      <c r="M218" s="301"/>
      <c r="N218" s="301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  <c r="Z218" s="246"/>
      <c r="AA218" s="246"/>
      <c r="AB218" s="246"/>
      <c r="AC218" s="246"/>
      <c r="AD218" s="246"/>
      <c r="AE218" s="246"/>
      <c r="AF218" s="246"/>
      <c r="AG218" s="246"/>
      <c r="AH218" s="246"/>
      <c r="AI218" s="246"/>
      <c r="AJ218" s="246"/>
      <c r="AK218" s="246"/>
    </row>
    <row r="219" spans="1:37" x14ac:dyDescent="0.2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300"/>
      <c r="M219" s="301"/>
      <c r="N219" s="301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246"/>
      <c r="AB219" s="246"/>
      <c r="AC219" s="246"/>
      <c r="AD219" s="246"/>
      <c r="AE219" s="246"/>
      <c r="AF219" s="246"/>
      <c r="AG219" s="246"/>
      <c r="AH219" s="246"/>
      <c r="AI219" s="246"/>
      <c r="AJ219" s="246"/>
      <c r="AK219" s="246"/>
    </row>
    <row r="220" spans="1:37" x14ac:dyDescent="0.2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300"/>
      <c r="M220" s="301"/>
      <c r="N220" s="301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</row>
    <row r="221" spans="1:37" x14ac:dyDescent="0.2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300"/>
      <c r="M221" s="301"/>
      <c r="N221" s="301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  <c r="Z221" s="246"/>
      <c r="AA221" s="246"/>
      <c r="AB221" s="246"/>
      <c r="AC221" s="246"/>
      <c r="AD221" s="246"/>
      <c r="AE221" s="246"/>
      <c r="AF221" s="246"/>
      <c r="AG221" s="246"/>
      <c r="AH221" s="246"/>
      <c r="AI221" s="246"/>
      <c r="AJ221" s="246"/>
      <c r="AK221" s="246"/>
    </row>
    <row r="222" spans="1:37" x14ac:dyDescent="0.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300"/>
      <c r="M222" s="301"/>
      <c r="N222" s="301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  <c r="Z222" s="246"/>
      <c r="AA222" s="246"/>
      <c r="AB222" s="246"/>
      <c r="AC222" s="246"/>
      <c r="AD222" s="246"/>
      <c r="AE222" s="246"/>
      <c r="AF222" s="246"/>
      <c r="AG222" s="246"/>
      <c r="AH222" s="246"/>
      <c r="AI222" s="246"/>
      <c r="AJ222" s="246"/>
      <c r="AK222" s="246"/>
    </row>
    <row r="223" spans="1:37" x14ac:dyDescent="0.2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300"/>
      <c r="M223" s="301"/>
      <c r="N223" s="301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  <c r="Z223" s="246"/>
      <c r="AA223" s="246"/>
      <c r="AB223" s="246"/>
      <c r="AC223" s="246"/>
      <c r="AD223" s="246"/>
      <c r="AE223" s="246"/>
      <c r="AF223" s="246"/>
      <c r="AG223" s="246"/>
      <c r="AH223" s="246"/>
      <c r="AI223" s="246"/>
      <c r="AJ223" s="246"/>
      <c r="AK223" s="246"/>
    </row>
    <row r="224" spans="1:37" x14ac:dyDescent="0.2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300"/>
      <c r="M224" s="301"/>
      <c r="N224" s="301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  <c r="Z224" s="246"/>
      <c r="AA224" s="246"/>
      <c r="AB224" s="246"/>
      <c r="AC224" s="246"/>
      <c r="AD224" s="246"/>
      <c r="AE224" s="246"/>
      <c r="AF224" s="246"/>
      <c r="AG224" s="246"/>
      <c r="AH224" s="246"/>
      <c r="AI224" s="246"/>
      <c r="AJ224" s="246"/>
      <c r="AK224" s="246"/>
    </row>
    <row r="225" spans="1:37" x14ac:dyDescent="0.2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300"/>
      <c r="M225" s="301"/>
      <c r="N225" s="301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  <c r="Z225" s="246"/>
      <c r="AA225" s="246"/>
      <c r="AB225" s="246"/>
      <c r="AC225" s="246"/>
      <c r="AD225" s="246"/>
      <c r="AE225" s="246"/>
      <c r="AF225" s="246"/>
      <c r="AG225" s="246"/>
      <c r="AH225" s="246"/>
      <c r="AI225" s="246"/>
      <c r="AJ225" s="246"/>
      <c r="AK225" s="246"/>
    </row>
    <row r="226" spans="1:37" x14ac:dyDescent="0.2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300"/>
      <c r="M226" s="301"/>
      <c r="N226" s="301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  <c r="Z226" s="246"/>
      <c r="AA226" s="246"/>
      <c r="AB226" s="246"/>
      <c r="AC226" s="246"/>
      <c r="AD226" s="246"/>
      <c r="AE226" s="246"/>
      <c r="AF226" s="246"/>
      <c r="AG226" s="246"/>
      <c r="AH226" s="246"/>
      <c r="AI226" s="246"/>
      <c r="AJ226" s="246"/>
      <c r="AK226" s="246"/>
    </row>
    <row r="227" spans="1:37" x14ac:dyDescent="0.2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300"/>
      <c r="M227" s="301"/>
      <c r="N227" s="301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  <c r="Z227" s="246"/>
      <c r="AA227" s="246"/>
      <c r="AB227" s="246"/>
      <c r="AC227" s="246"/>
      <c r="AD227" s="246"/>
      <c r="AE227" s="246"/>
      <c r="AF227" s="246"/>
      <c r="AG227" s="246"/>
      <c r="AH227" s="246"/>
      <c r="AI227" s="246"/>
      <c r="AJ227" s="246"/>
      <c r="AK227" s="246"/>
    </row>
    <row r="228" spans="1:37" x14ac:dyDescent="0.2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300"/>
      <c r="M228" s="301"/>
      <c r="N228" s="301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  <c r="Z228" s="246"/>
      <c r="AA228" s="246"/>
      <c r="AB228" s="246"/>
      <c r="AC228" s="246"/>
      <c r="AD228" s="246"/>
      <c r="AE228" s="246"/>
      <c r="AF228" s="246"/>
      <c r="AG228" s="246"/>
      <c r="AH228" s="246"/>
      <c r="AI228" s="246"/>
      <c r="AJ228" s="246"/>
      <c r="AK228" s="246"/>
    </row>
    <row r="229" spans="1:37" x14ac:dyDescent="0.2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300"/>
      <c r="M229" s="301"/>
      <c r="N229" s="301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6"/>
      <c r="AI229" s="246"/>
      <c r="AJ229" s="246"/>
      <c r="AK229" s="246"/>
    </row>
    <row r="230" spans="1:37" x14ac:dyDescent="0.2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300"/>
      <c r="M230" s="301"/>
      <c r="N230" s="301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6"/>
      <c r="AF230" s="246"/>
      <c r="AG230" s="246"/>
      <c r="AH230" s="246"/>
      <c r="AI230" s="246"/>
      <c r="AJ230" s="246"/>
      <c r="AK230" s="246"/>
    </row>
    <row r="231" spans="1:37" x14ac:dyDescent="0.2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300"/>
      <c r="M231" s="301"/>
      <c r="N231" s="301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  <c r="Z231" s="246"/>
      <c r="AA231" s="246"/>
      <c r="AB231" s="246"/>
      <c r="AC231" s="246"/>
      <c r="AD231" s="246"/>
      <c r="AE231" s="246"/>
      <c r="AF231" s="246"/>
      <c r="AG231" s="246"/>
      <c r="AH231" s="246"/>
      <c r="AI231" s="246"/>
      <c r="AJ231" s="246"/>
      <c r="AK231" s="246"/>
    </row>
    <row r="232" spans="1:37" x14ac:dyDescent="0.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300"/>
      <c r="M232" s="301"/>
      <c r="N232" s="301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  <c r="Z232" s="246"/>
      <c r="AA232" s="246"/>
      <c r="AB232" s="246"/>
      <c r="AC232" s="246"/>
      <c r="AD232" s="246"/>
      <c r="AE232" s="246"/>
      <c r="AF232" s="246"/>
      <c r="AG232" s="246"/>
      <c r="AH232" s="246"/>
      <c r="AI232" s="246"/>
      <c r="AJ232" s="246"/>
      <c r="AK232" s="246"/>
    </row>
    <row r="233" spans="1:37" x14ac:dyDescent="0.2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300"/>
      <c r="M233" s="301"/>
      <c r="N233" s="301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  <c r="Z233" s="246"/>
      <c r="AA233" s="246"/>
      <c r="AB233" s="246"/>
      <c r="AC233" s="246"/>
      <c r="AD233" s="246"/>
      <c r="AE233" s="246"/>
      <c r="AF233" s="246"/>
      <c r="AG233" s="246"/>
      <c r="AH233" s="246"/>
      <c r="AI233" s="246"/>
      <c r="AJ233" s="246"/>
      <c r="AK233" s="246"/>
    </row>
    <row r="234" spans="1:37" x14ac:dyDescent="0.2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300"/>
      <c r="M234" s="301"/>
      <c r="N234" s="301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  <c r="Z234" s="246"/>
      <c r="AA234" s="246"/>
      <c r="AB234" s="246"/>
      <c r="AC234" s="246"/>
      <c r="AD234" s="246"/>
      <c r="AE234" s="246"/>
      <c r="AF234" s="246"/>
      <c r="AG234" s="246"/>
      <c r="AH234" s="246"/>
      <c r="AI234" s="246"/>
      <c r="AJ234" s="246"/>
      <c r="AK234" s="246"/>
    </row>
    <row r="235" spans="1:37" x14ac:dyDescent="0.2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300"/>
      <c r="M235" s="301"/>
      <c r="N235" s="301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  <c r="Z235" s="246"/>
      <c r="AA235" s="246"/>
      <c r="AB235" s="246"/>
      <c r="AC235" s="246"/>
      <c r="AD235" s="246"/>
      <c r="AE235" s="246"/>
      <c r="AF235" s="246"/>
      <c r="AG235" s="246"/>
      <c r="AH235" s="246"/>
      <c r="AI235" s="246"/>
      <c r="AJ235" s="246"/>
      <c r="AK235" s="246"/>
    </row>
    <row r="236" spans="1:37" x14ac:dyDescent="0.2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300"/>
      <c r="M236" s="301"/>
      <c r="N236" s="301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  <c r="Z236" s="246"/>
      <c r="AA236" s="246"/>
      <c r="AB236" s="246"/>
      <c r="AC236" s="246"/>
      <c r="AD236" s="246"/>
      <c r="AE236" s="246"/>
      <c r="AF236" s="246"/>
      <c r="AG236" s="246"/>
      <c r="AH236" s="246"/>
      <c r="AI236" s="246"/>
      <c r="AJ236" s="246"/>
      <c r="AK236" s="246"/>
    </row>
    <row r="237" spans="1:37" x14ac:dyDescent="0.2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300"/>
      <c r="M237" s="301"/>
      <c r="N237" s="301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  <c r="Z237" s="246"/>
      <c r="AA237" s="246"/>
      <c r="AB237" s="246"/>
      <c r="AC237" s="246"/>
      <c r="AD237" s="246"/>
      <c r="AE237" s="246"/>
      <c r="AF237" s="246"/>
      <c r="AG237" s="246"/>
      <c r="AH237" s="246"/>
      <c r="AI237" s="246"/>
      <c r="AJ237" s="246"/>
      <c r="AK237" s="246"/>
    </row>
    <row r="238" spans="1:37" x14ac:dyDescent="0.2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300"/>
      <c r="M238" s="301"/>
      <c r="N238" s="301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246"/>
      <c r="AB238" s="246"/>
      <c r="AC238" s="246"/>
      <c r="AD238" s="246"/>
      <c r="AE238" s="246"/>
      <c r="AF238" s="246"/>
      <c r="AG238" s="246"/>
      <c r="AH238" s="246"/>
      <c r="AI238" s="246"/>
      <c r="AJ238" s="246"/>
      <c r="AK238" s="246"/>
    </row>
    <row r="239" spans="1:37" x14ac:dyDescent="0.2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300"/>
      <c r="M239" s="301"/>
      <c r="N239" s="301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6"/>
      <c r="AI239" s="246"/>
      <c r="AJ239" s="246"/>
      <c r="AK239" s="246"/>
    </row>
    <row r="240" spans="1:37" x14ac:dyDescent="0.2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300"/>
      <c r="M240" s="301"/>
      <c r="N240" s="301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  <c r="Z240" s="246"/>
      <c r="AA240" s="246"/>
      <c r="AB240" s="246"/>
      <c r="AC240" s="246"/>
      <c r="AD240" s="246"/>
      <c r="AE240" s="246"/>
      <c r="AF240" s="246"/>
      <c r="AG240" s="246"/>
      <c r="AH240" s="246"/>
      <c r="AI240" s="246"/>
      <c r="AJ240" s="246"/>
      <c r="AK240" s="246"/>
    </row>
    <row r="241" spans="1:37" x14ac:dyDescent="0.2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300"/>
      <c r="M241" s="301"/>
      <c r="N241" s="301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  <c r="Z241" s="246"/>
      <c r="AA241" s="246"/>
      <c r="AB241" s="246"/>
      <c r="AC241" s="246"/>
      <c r="AD241" s="246"/>
      <c r="AE241" s="246"/>
      <c r="AF241" s="246"/>
      <c r="AG241" s="246"/>
      <c r="AH241" s="246"/>
      <c r="AI241" s="246"/>
      <c r="AJ241" s="246"/>
      <c r="AK241" s="246"/>
    </row>
    <row r="242" spans="1:37" x14ac:dyDescent="0.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300"/>
      <c r="M242" s="301"/>
      <c r="N242" s="301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  <c r="Z242" s="246"/>
      <c r="AA242" s="246"/>
      <c r="AB242" s="246"/>
      <c r="AC242" s="246"/>
      <c r="AD242" s="246"/>
      <c r="AE242" s="246"/>
      <c r="AF242" s="246"/>
      <c r="AG242" s="246"/>
      <c r="AH242" s="246"/>
      <c r="AI242" s="246"/>
      <c r="AJ242" s="246"/>
      <c r="AK242" s="246"/>
    </row>
    <row r="243" spans="1:37" x14ac:dyDescent="0.2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300"/>
      <c r="M243" s="301"/>
      <c r="N243" s="301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  <c r="Z243" s="246"/>
      <c r="AA243" s="246"/>
      <c r="AB243" s="246"/>
      <c r="AC243" s="246"/>
      <c r="AD243" s="246"/>
      <c r="AE243" s="246"/>
      <c r="AF243" s="246"/>
      <c r="AG243" s="246"/>
      <c r="AH243" s="246"/>
      <c r="AI243" s="246"/>
      <c r="AJ243" s="246"/>
      <c r="AK243" s="246"/>
    </row>
    <row r="244" spans="1:37" x14ac:dyDescent="0.2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300"/>
      <c r="M244" s="301"/>
      <c r="N244" s="301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  <c r="Z244" s="246"/>
      <c r="AA244" s="246"/>
      <c r="AB244" s="246"/>
      <c r="AC244" s="246"/>
      <c r="AD244" s="246"/>
      <c r="AE244" s="246"/>
      <c r="AF244" s="246"/>
      <c r="AG244" s="246"/>
      <c r="AH244" s="246"/>
      <c r="AI244" s="246"/>
      <c r="AJ244" s="246"/>
      <c r="AK244" s="246"/>
    </row>
    <row r="245" spans="1:37" x14ac:dyDescent="0.2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300"/>
      <c r="M245" s="301"/>
      <c r="N245" s="301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  <c r="Z245" s="246"/>
      <c r="AA245" s="246"/>
      <c r="AB245" s="246"/>
      <c r="AC245" s="246"/>
      <c r="AD245" s="246"/>
      <c r="AE245" s="246"/>
      <c r="AF245" s="246"/>
      <c r="AG245" s="246"/>
      <c r="AH245" s="246"/>
      <c r="AI245" s="246"/>
      <c r="AJ245" s="246"/>
      <c r="AK245" s="246"/>
    </row>
    <row r="246" spans="1:37" x14ac:dyDescent="0.2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300"/>
      <c r="M246" s="301"/>
      <c r="N246" s="301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  <c r="Z246" s="246"/>
      <c r="AA246" s="246"/>
      <c r="AB246" s="246"/>
      <c r="AC246" s="246"/>
      <c r="AD246" s="246"/>
      <c r="AE246" s="246"/>
      <c r="AF246" s="246"/>
      <c r="AG246" s="246"/>
      <c r="AH246" s="246"/>
      <c r="AI246" s="246"/>
      <c r="AJ246" s="246"/>
      <c r="AK246" s="246"/>
    </row>
    <row r="247" spans="1:37" x14ac:dyDescent="0.2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300"/>
      <c r="M247" s="301"/>
      <c r="N247" s="301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  <c r="Z247" s="246"/>
      <c r="AA247" s="246"/>
      <c r="AB247" s="246"/>
      <c r="AC247" s="246"/>
      <c r="AD247" s="246"/>
      <c r="AE247" s="246"/>
      <c r="AF247" s="246"/>
      <c r="AG247" s="246"/>
      <c r="AH247" s="246"/>
      <c r="AI247" s="246"/>
      <c r="AJ247" s="246"/>
      <c r="AK247" s="246"/>
    </row>
    <row r="248" spans="1:37" x14ac:dyDescent="0.2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300"/>
      <c r="M248" s="301"/>
      <c r="N248" s="301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  <c r="Z248" s="246"/>
      <c r="AA248" s="246"/>
      <c r="AB248" s="246"/>
      <c r="AC248" s="246"/>
      <c r="AD248" s="246"/>
      <c r="AE248" s="246"/>
      <c r="AF248" s="246"/>
      <c r="AG248" s="246"/>
      <c r="AH248" s="246"/>
      <c r="AI248" s="246"/>
      <c r="AJ248" s="246"/>
      <c r="AK248" s="246"/>
    </row>
    <row r="249" spans="1:37" x14ac:dyDescent="0.2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300"/>
      <c r="M249" s="301"/>
      <c r="N249" s="301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  <c r="Z249" s="246"/>
      <c r="AA249" s="246"/>
      <c r="AB249" s="246"/>
      <c r="AC249" s="246"/>
      <c r="AD249" s="246"/>
      <c r="AE249" s="246"/>
      <c r="AF249" s="246"/>
      <c r="AG249" s="246"/>
      <c r="AH249" s="246"/>
      <c r="AI249" s="246"/>
      <c r="AJ249" s="246"/>
      <c r="AK249" s="246"/>
    </row>
    <row r="250" spans="1:37" x14ac:dyDescent="0.2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300"/>
      <c r="M250" s="301"/>
      <c r="N250" s="301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  <c r="Z250" s="246"/>
      <c r="AA250" s="246"/>
      <c r="AB250" s="246"/>
      <c r="AC250" s="246"/>
      <c r="AD250" s="246"/>
      <c r="AE250" s="246"/>
      <c r="AF250" s="246"/>
      <c r="AG250" s="246"/>
      <c r="AH250" s="246"/>
      <c r="AI250" s="246"/>
      <c r="AJ250" s="246"/>
      <c r="AK250" s="246"/>
    </row>
    <row r="251" spans="1:37" x14ac:dyDescent="0.2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300"/>
      <c r="M251" s="301"/>
      <c r="N251" s="301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</row>
    <row r="252" spans="1:37" x14ac:dyDescent="0.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300"/>
      <c r="M252" s="301"/>
      <c r="N252" s="301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  <c r="Z252" s="246"/>
      <c r="AA252" s="246"/>
      <c r="AB252" s="246"/>
      <c r="AC252" s="246"/>
      <c r="AD252" s="246"/>
      <c r="AE252" s="246"/>
      <c r="AF252" s="246"/>
      <c r="AG252" s="246"/>
      <c r="AH252" s="246"/>
      <c r="AI252" s="246"/>
      <c r="AJ252" s="246"/>
      <c r="AK252" s="246"/>
    </row>
    <row r="253" spans="1:37" x14ac:dyDescent="0.2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300"/>
      <c r="M253" s="301"/>
      <c r="N253" s="301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  <c r="Z253" s="246"/>
      <c r="AA253" s="246"/>
      <c r="AB253" s="246"/>
      <c r="AC253" s="246"/>
      <c r="AD253" s="246"/>
      <c r="AE253" s="246"/>
      <c r="AF253" s="246"/>
      <c r="AG253" s="246"/>
      <c r="AH253" s="246"/>
      <c r="AI253" s="246"/>
      <c r="AJ253" s="246"/>
      <c r="AK253" s="246"/>
    </row>
    <row r="254" spans="1:37" x14ac:dyDescent="0.2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300"/>
      <c r="M254" s="301"/>
      <c r="N254" s="301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  <c r="Z254" s="246"/>
      <c r="AA254" s="246"/>
      <c r="AB254" s="246"/>
      <c r="AC254" s="246"/>
      <c r="AD254" s="246"/>
      <c r="AE254" s="246"/>
      <c r="AF254" s="246"/>
      <c r="AG254" s="246"/>
      <c r="AH254" s="246"/>
      <c r="AI254" s="246"/>
      <c r="AJ254" s="246"/>
      <c r="AK254" s="246"/>
    </row>
    <row r="255" spans="1:37" x14ac:dyDescent="0.2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300"/>
      <c r="M255" s="301"/>
      <c r="N255" s="301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  <c r="Z255" s="246"/>
      <c r="AA255" s="246"/>
      <c r="AB255" s="246"/>
      <c r="AC255" s="246"/>
      <c r="AD255" s="246"/>
      <c r="AE255" s="246"/>
      <c r="AF255" s="246"/>
      <c r="AG255" s="246"/>
      <c r="AH255" s="246"/>
      <c r="AI255" s="246"/>
      <c r="AJ255" s="246"/>
      <c r="AK255" s="246"/>
    </row>
    <row r="256" spans="1:37" x14ac:dyDescent="0.2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300"/>
      <c r="M256" s="301"/>
      <c r="N256" s="301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  <c r="Z256" s="246"/>
      <c r="AA256" s="246"/>
      <c r="AB256" s="246"/>
      <c r="AC256" s="246"/>
      <c r="AD256" s="246"/>
      <c r="AE256" s="246"/>
      <c r="AF256" s="246"/>
      <c r="AG256" s="246"/>
      <c r="AH256" s="246"/>
      <c r="AI256" s="246"/>
      <c r="AJ256" s="246"/>
      <c r="AK256" s="246"/>
    </row>
    <row r="257" spans="1:37" x14ac:dyDescent="0.2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300"/>
      <c r="M257" s="301"/>
      <c r="N257" s="301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  <c r="Z257" s="246"/>
      <c r="AA257" s="246"/>
      <c r="AB257" s="246"/>
      <c r="AC257" s="246"/>
      <c r="AD257" s="246"/>
      <c r="AE257" s="246"/>
      <c r="AF257" s="246"/>
      <c r="AG257" s="246"/>
      <c r="AH257" s="246"/>
      <c r="AI257" s="246"/>
      <c r="AJ257" s="246"/>
      <c r="AK257" s="246"/>
    </row>
    <row r="258" spans="1:37" x14ac:dyDescent="0.2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300"/>
      <c r="M258" s="301"/>
      <c r="N258" s="301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  <c r="Z258" s="246"/>
      <c r="AA258" s="246"/>
      <c r="AB258" s="246"/>
      <c r="AC258" s="246"/>
      <c r="AD258" s="246"/>
      <c r="AE258" s="246"/>
      <c r="AF258" s="246"/>
      <c r="AG258" s="246"/>
      <c r="AH258" s="246"/>
      <c r="AI258" s="246"/>
      <c r="AJ258" s="246"/>
      <c r="AK258" s="246"/>
    </row>
    <row r="259" spans="1:37" x14ac:dyDescent="0.2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300"/>
      <c r="M259" s="301"/>
      <c r="N259" s="301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  <c r="Z259" s="246"/>
      <c r="AA259" s="246"/>
      <c r="AB259" s="246"/>
      <c r="AC259" s="246"/>
      <c r="AD259" s="246"/>
      <c r="AE259" s="246"/>
      <c r="AF259" s="246"/>
      <c r="AG259" s="246"/>
      <c r="AH259" s="246"/>
      <c r="AI259" s="246"/>
      <c r="AJ259" s="246"/>
      <c r="AK259" s="246"/>
    </row>
    <row r="260" spans="1:37" x14ac:dyDescent="0.2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300"/>
      <c r="M260" s="301"/>
      <c r="N260" s="301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  <c r="Z260" s="246"/>
      <c r="AA260" s="246"/>
      <c r="AB260" s="246"/>
      <c r="AC260" s="246"/>
      <c r="AD260" s="246"/>
      <c r="AE260" s="246"/>
      <c r="AF260" s="246"/>
      <c r="AG260" s="246"/>
      <c r="AH260" s="246"/>
      <c r="AI260" s="246"/>
      <c r="AJ260" s="246"/>
      <c r="AK260" s="246"/>
    </row>
    <row r="261" spans="1:37" x14ac:dyDescent="0.2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300"/>
      <c r="M261" s="301"/>
      <c r="N261" s="301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  <c r="Z261" s="246"/>
      <c r="AA261" s="246"/>
      <c r="AB261" s="246"/>
      <c r="AC261" s="246"/>
      <c r="AD261" s="246"/>
      <c r="AE261" s="246"/>
      <c r="AF261" s="246"/>
      <c r="AG261" s="246"/>
      <c r="AH261" s="246"/>
      <c r="AI261" s="246"/>
      <c r="AJ261" s="246"/>
      <c r="AK261" s="246"/>
    </row>
    <row r="262" spans="1:37" x14ac:dyDescent="0.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300"/>
      <c r="M262" s="301"/>
      <c r="N262" s="301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  <c r="Z262" s="246"/>
      <c r="AA262" s="246"/>
      <c r="AB262" s="246"/>
      <c r="AC262" s="246"/>
      <c r="AD262" s="246"/>
      <c r="AE262" s="246"/>
      <c r="AF262" s="246"/>
      <c r="AG262" s="246"/>
      <c r="AH262" s="246"/>
      <c r="AI262" s="246"/>
      <c r="AJ262" s="246"/>
      <c r="AK262" s="246"/>
    </row>
    <row r="263" spans="1:37" x14ac:dyDescent="0.2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300"/>
      <c r="M263" s="301"/>
      <c r="N263" s="301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  <c r="Z263" s="246"/>
      <c r="AA263" s="246"/>
      <c r="AB263" s="246"/>
      <c r="AC263" s="246"/>
      <c r="AD263" s="246"/>
      <c r="AE263" s="246"/>
      <c r="AF263" s="246"/>
      <c r="AG263" s="246"/>
      <c r="AH263" s="246"/>
      <c r="AI263" s="246"/>
      <c r="AJ263" s="246"/>
      <c r="AK263" s="246"/>
    </row>
  </sheetData>
  <mergeCells count="3">
    <mergeCell ref="B1:D1"/>
    <mergeCell ref="A83:M84"/>
    <mergeCell ref="E1:K1"/>
  </mergeCells>
  <hyperlinks>
    <hyperlink ref="A96" location="Sheet7!A1" display="Counties and State 2010"/>
    <hyperlink ref="A97" location="Sheet7!A1" display="Cities and Counties 2010"/>
    <hyperlink ref="A98" location="Sheet7!A1" display="Counties and State 2011"/>
    <hyperlink ref="A99" location="Sheet7!A1" display="Cities and Counties 2011"/>
    <hyperlink ref="A100" location="Sheet7!A1" display="Counties and State 2012"/>
    <hyperlink ref="A101" location="Sheet7!A1" display="Cities and Counties 2012"/>
    <hyperlink ref="A102" location="Sheet7!A1" display="Counties and State 2013"/>
    <hyperlink ref="A103" location="Sheet7!A1" display="Cities and Counties 2013"/>
    <hyperlink ref="A104" location="Sheet7!A1" display="Counties and State 2014"/>
    <hyperlink ref="A105" location="Sheet7!A1" display="Cities and Counties 2014"/>
    <hyperlink ref="A106" location="Sheet7!A1" display="Counties and State 2015"/>
    <hyperlink ref="A107" location="Sheet7!A1" display="Cities and Counties 2015"/>
    <hyperlink ref="A108" location="Sheet7!A1" display="Counties and State 2016"/>
    <hyperlink ref="A109" location="Sheet7!A1" display="Cities and Counties 2016"/>
    <hyperlink ref="A1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HDD_CDD</vt:lpstr>
      <vt:lpstr>UVals</vt:lpstr>
      <vt:lpstr>HousingSpecs</vt:lpstr>
      <vt:lpstr>App_Saturation</vt:lpstr>
      <vt:lpstr>HDD_CDD (2)</vt:lpstr>
      <vt:lpstr>HDD_CDD _BrianUCI</vt:lpstr>
      <vt:lpstr>Space Heating</vt:lpstr>
      <vt:lpstr>Sheet5</vt:lpstr>
      <vt:lpstr>HousingTypeCounty</vt:lpstr>
      <vt:lpstr>Residential_RASS</vt:lpstr>
      <vt:lpstr>Consolidated_Results</vt:lpstr>
      <vt:lpstr>Sheet2</vt:lpstr>
      <vt:lpstr>Sheet3</vt:lpstr>
      <vt:lpstr>Appliance Types</vt:lpstr>
      <vt:lpstr>Sheet4</vt:lpstr>
      <vt:lpstr>HouseTypes Asssumed </vt:lpstr>
      <vt:lpstr>Engdemand_withStckTurnover</vt:lpstr>
      <vt:lpstr>Sheet1</vt:lpstr>
      <vt:lpstr>Annual Heat Energy Demand</vt:lpstr>
      <vt:lpstr>HDD_CDD_season</vt:lpstr>
      <vt:lpstr>Frozen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Shuba Raghavan</dc:creator>
  <cp:keywords/>
  <dc:description/>
  <cp:lastModifiedBy>Microsoft Office User</cp:lastModifiedBy>
  <dcterms:created xsi:type="dcterms:W3CDTF">2018-03-08T19:34:22Z</dcterms:created>
  <dcterms:modified xsi:type="dcterms:W3CDTF">2019-09-20T22:29:51Z</dcterms:modified>
  <cp:category/>
</cp:coreProperties>
</file>